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17" sheetId="7" r:id="rId7"/>
    <sheet name="грудень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<sst xmlns="http://schemas.openxmlformats.org/spreadsheetml/2006/main" count="1215" uniqueCount="228">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</sst>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6">
        <row r="6">
          <cell r="G6">
            <v>12794024.23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84" sqref="H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0" t="s">
        <v>226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6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218</v>
      </c>
      <c r="O3" s="331" t="s">
        <v>220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219</v>
      </c>
      <c r="F4" s="314" t="s">
        <v>33</v>
      </c>
      <c r="G4" s="305" t="s">
        <v>221</v>
      </c>
      <c r="H4" s="316" t="s">
        <v>222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227</v>
      </c>
      <c r="P4" s="305" t="s">
        <v>49</v>
      </c>
      <c r="Q4" s="307" t="s">
        <v>48</v>
      </c>
      <c r="R4" s="91" t="s">
        <v>64</v>
      </c>
      <c r="S4" s="91"/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225</v>
      </c>
      <c r="L5" s="309"/>
      <c r="M5" s="310"/>
      <c r="N5" s="317"/>
      <c r="O5" s="319"/>
      <c r="P5" s="306"/>
      <c r="Q5" s="307"/>
      <c r="R5" s="311" t="s">
        <v>215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725572.77</v>
      </c>
      <c r="G8" s="151">
        <f aca="true" t="shared" si="0" ref="G8:G40">F8-E8</f>
        <v>-1767.4299999999348</v>
      </c>
      <c r="H8" s="152">
        <f>F8/E8*100</f>
        <v>99.75700091923973</v>
      </c>
      <c r="I8" s="153">
        <f>F8-D8</f>
        <v>-572878.3300000001</v>
      </c>
      <c r="J8" s="153">
        <f>F8/D8*100</f>
        <v>55.879868714347424</v>
      </c>
      <c r="K8" s="151">
        <v>543806.97</v>
      </c>
      <c r="L8" s="151">
        <f aca="true" t="shared" si="1" ref="L8:L54">F8-K8</f>
        <v>181765.80000000005</v>
      </c>
      <c r="M8" s="205">
        <f aca="true" t="shared" si="2" ref="M8:M31">F8/K8</f>
        <v>1.3342469111787958</v>
      </c>
      <c r="N8" s="151">
        <f>N9+N15+N18+N19+N23+N17</f>
        <v>118464.60000000003</v>
      </c>
      <c r="O8" s="151">
        <f>O9+O15+O18+O19+O23+O17</f>
        <v>116102.64999999997</v>
      </c>
      <c r="P8" s="151">
        <f>O8-N8</f>
        <v>-2361.95000000007</v>
      </c>
      <c r="Q8" s="151">
        <f>O8/N8*100</f>
        <v>98.00619763203517</v>
      </c>
      <c r="R8" s="15">
        <f>R9+R15+R18+R19+R23</f>
        <v>102514</v>
      </c>
      <c r="S8" s="15">
        <f>O8-R8</f>
        <v>13588.649999999965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419643.1</v>
      </c>
      <c r="G9" s="150">
        <f t="shared" si="0"/>
        <v>3103.0999999999767</v>
      </c>
      <c r="H9" s="157">
        <f>F9/E9*100</f>
        <v>100.74497047102318</v>
      </c>
      <c r="I9" s="158">
        <f>F9-D9</f>
        <v>-347001.9</v>
      </c>
      <c r="J9" s="158">
        <f>F9/D9*100</f>
        <v>54.73760345401065</v>
      </c>
      <c r="K9" s="227">
        <v>295409.71</v>
      </c>
      <c r="L9" s="159">
        <f t="shared" si="1"/>
        <v>124233.38999999996</v>
      </c>
      <c r="M9" s="206">
        <f t="shared" si="2"/>
        <v>1.4205460612652168</v>
      </c>
      <c r="N9" s="157">
        <f>E9-червень!E9</f>
        <v>67300</v>
      </c>
      <c r="O9" s="160">
        <f>F9-червень!F9</f>
        <v>68100.71999999997</v>
      </c>
      <c r="P9" s="161">
        <f>O9-N9</f>
        <v>800.7199999999721</v>
      </c>
      <c r="Q9" s="158">
        <f>O9/N9*100</f>
        <v>101.18977711738479</v>
      </c>
      <c r="R9" s="100">
        <v>71000</v>
      </c>
      <c r="S9" s="100">
        <f>O9-R9</f>
        <v>-2899.280000000028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03">
        <f t="shared" si="0"/>
        <v>1079.4099999999744</v>
      </c>
      <c r="H10" s="30">
        <f aca="true" t="shared" si="3" ref="H10:H39">F10/E10*100</f>
        <v>100.28509962811138</v>
      </c>
      <c r="I10" s="104">
        <f aca="true" t="shared" si="4" ref="I10:I40">F10-D10</f>
        <v>-321629.59</v>
      </c>
      <c r="J10" s="104">
        <f aca="true" t="shared" si="5" ref="J10:J39">F10/D10*100</f>
        <v>54.13919953458992</v>
      </c>
      <c r="K10" s="106">
        <v>259105.9</v>
      </c>
      <c r="L10" s="106">
        <f t="shared" si="1"/>
        <v>120581.50999999998</v>
      </c>
      <c r="M10" s="207">
        <f t="shared" si="2"/>
        <v>1.4653753928413054</v>
      </c>
      <c r="N10" s="105">
        <f>E10-червень!E10</f>
        <v>60544</v>
      </c>
      <c r="O10" s="144">
        <f>F10-червень!F10</f>
        <v>57142.649999999965</v>
      </c>
      <c r="P10" s="106">
        <f aca="true" t="shared" si="6" ref="P10:P40">O10-N10</f>
        <v>-3401.350000000035</v>
      </c>
      <c r="Q10" s="104">
        <f aca="true" t="shared" si="7" ref="Q10:Q27">O10/N10*100</f>
        <v>94.38201968816063</v>
      </c>
      <c r="R10" s="37"/>
      <c r="S10" s="100">
        <f aca="true" t="shared" si="8" ref="S10:S35">O10-R10</f>
        <v>57142.649999999965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03">
        <f t="shared" si="0"/>
        <v>-3738.1699999999983</v>
      </c>
      <c r="H11" s="30">
        <f t="shared" si="3"/>
        <v>85.7756088280061</v>
      </c>
      <c r="I11" s="104">
        <f t="shared" si="4"/>
        <v>-23964.17</v>
      </c>
      <c r="J11" s="104">
        <f t="shared" si="5"/>
        <v>48.47079946673548</v>
      </c>
      <c r="K11" s="106">
        <v>21586.03</v>
      </c>
      <c r="L11" s="106">
        <f t="shared" si="1"/>
        <v>955.8000000000029</v>
      </c>
      <c r="M11" s="207">
        <f t="shared" si="2"/>
        <v>1.0442786376188675</v>
      </c>
      <c r="N11" s="105">
        <f>E11-червень!E11</f>
        <v>4080</v>
      </c>
      <c r="O11" s="144">
        <f>F11-червень!F11</f>
        <v>3455.9400000000023</v>
      </c>
      <c r="P11" s="106">
        <f t="shared" si="6"/>
        <v>-624.0599999999977</v>
      </c>
      <c r="Q11" s="104">
        <f t="shared" si="7"/>
        <v>84.70441176470594</v>
      </c>
      <c r="R11" s="37"/>
      <c r="S11" s="100">
        <f t="shared" si="8"/>
        <v>3455.9400000000023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03">
        <f t="shared" si="0"/>
        <v>1008.79</v>
      </c>
      <c r="H12" s="30">
        <f t="shared" si="3"/>
        <v>122.72049549549548</v>
      </c>
      <c r="I12" s="104">
        <f t="shared" si="4"/>
        <v>-2831.21</v>
      </c>
      <c r="J12" s="104">
        <f t="shared" si="5"/>
        <v>65.80664251207729</v>
      </c>
      <c r="K12" s="106">
        <v>5837.44</v>
      </c>
      <c r="L12" s="106">
        <f t="shared" si="1"/>
        <v>-388.64999999999964</v>
      </c>
      <c r="M12" s="207">
        <f t="shared" si="2"/>
        <v>0.9334211572196032</v>
      </c>
      <c r="N12" s="105">
        <f>E12-червень!E12</f>
        <v>600</v>
      </c>
      <c r="O12" s="144">
        <f>F12-червень!F12</f>
        <v>935.7600000000002</v>
      </c>
      <c r="P12" s="106">
        <f t="shared" si="6"/>
        <v>335.7600000000002</v>
      </c>
      <c r="Q12" s="104">
        <f t="shared" si="7"/>
        <v>155.96000000000004</v>
      </c>
      <c r="R12" s="37"/>
      <c r="S12" s="100">
        <f t="shared" si="8"/>
        <v>935.7600000000002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03">
        <f t="shared" si="0"/>
        <v>-120.13000000000011</v>
      </c>
      <c r="H13" s="30">
        <f t="shared" si="3"/>
        <v>98.1631498470948</v>
      </c>
      <c r="I13" s="104">
        <f t="shared" si="4"/>
        <v>-2970.13</v>
      </c>
      <c r="J13" s="104">
        <f t="shared" si="5"/>
        <v>68.3692225772098</v>
      </c>
      <c r="K13" s="106">
        <v>6429.46</v>
      </c>
      <c r="L13" s="106">
        <f t="shared" si="1"/>
        <v>-9.590000000000146</v>
      </c>
      <c r="M13" s="207">
        <f t="shared" si="2"/>
        <v>0.9985084283905646</v>
      </c>
      <c r="N13" s="105">
        <f>E13-червень!E13</f>
        <v>1980</v>
      </c>
      <c r="O13" s="144">
        <f>F13-червень!F13</f>
        <v>1728.6999999999998</v>
      </c>
      <c r="P13" s="106">
        <f t="shared" si="6"/>
        <v>-251.30000000000018</v>
      </c>
      <c r="Q13" s="104">
        <f t="shared" si="7"/>
        <v>87.3080808080808</v>
      </c>
      <c r="R13" s="37"/>
      <c r="S13" s="100">
        <f t="shared" si="8"/>
        <v>1728.6999999999998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03">
        <f t="shared" si="0"/>
        <v>148.73000000000002</v>
      </c>
      <c r="H14" s="30">
        <f t="shared" si="3"/>
        <v>122.13244047619047</v>
      </c>
      <c r="I14" s="104">
        <f t="shared" si="4"/>
        <v>-331.27</v>
      </c>
      <c r="J14" s="104">
        <f t="shared" si="5"/>
        <v>71.24392361111111</v>
      </c>
      <c r="K14" s="106">
        <v>2450.88</v>
      </c>
      <c r="L14" s="106">
        <f t="shared" si="1"/>
        <v>-1630.15</v>
      </c>
      <c r="M14" s="207">
        <f t="shared" si="2"/>
        <v>0.33487155633894766</v>
      </c>
      <c r="N14" s="105">
        <f>E14-червень!E14</f>
        <v>96</v>
      </c>
      <c r="O14" s="144">
        <f>F14-червень!F14</f>
        <v>113.20000000000005</v>
      </c>
      <c r="P14" s="106">
        <f t="shared" si="6"/>
        <v>17.200000000000045</v>
      </c>
      <c r="Q14" s="104">
        <f t="shared" si="7"/>
        <v>117.91666666666671</v>
      </c>
      <c r="R14" s="37"/>
      <c r="S14" s="100">
        <f t="shared" si="8"/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>F15/E15*100</f>
        <v>13.193548387096774</v>
      </c>
      <c r="I15" s="158">
        <f t="shared" si="4"/>
        <v>-506.01</v>
      </c>
      <c r="J15" s="158">
        <f>F15/D15*100</f>
        <v>8.165154264972777</v>
      </c>
      <c r="K15" s="161">
        <v>309.24</v>
      </c>
      <c r="L15" s="161">
        <f t="shared" si="1"/>
        <v>-264.25</v>
      </c>
      <c r="M15" s="208">
        <f t="shared" si="2"/>
        <v>0.14548570689432155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 t="shared" si="8"/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E16-червень!E16</f>
        <v>0</v>
      </c>
      <c r="O16" s="168">
        <f>F16-червень!F16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0.17</v>
      </c>
      <c r="L17" s="161">
        <f t="shared" si="1"/>
        <v>0.31999999999999995</v>
      </c>
      <c r="M17" s="208">
        <f t="shared" si="2"/>
        <v>2.88235294117647</v>
      </c>
      <c r="N17" s="164">
        <f>E17-червень!E17</f>
        <v>0</v>
      </c>
      <c r="O17" s="168">
        <f>F17-червень!F17</f>
        <v>0</v>
      </c>
      <c r="P17" s="167">
        <f>O17-N17</f>
        <v>0</v>
      </c>
      <c r="Q17" s="158"/>
      <c r="R17" s="104"/>
      <c r="S17" s="100">
        <f t="shared" si="8"/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E18-червень!E18</f>
        <v>0</v>
      </c>
      <c r="O18" s="168">
        <f>F18-червень!F18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</v>
      </c>
      <c r="G19" s="162">
        <f t="shared" si="0"/>
        <v>-11699.699999999997</v>
      </c>
      <c r="H19" s="164">
        <f t="shared" si="3"/>
        <v>83.54472573839664</v>
      </c>
      <c r="I19" s="165">
        <f t="shared" si="4"/>
        <v>-70599.7</v>
      </c>
      <c r="J19" s="165">
        <f t="shared" si="5"/>
        <v>45.69253846153846</v>
      </c>
      <c r="K19" s="161">
        <v>54291.2</v>
      </c>
      <c r="L19" s="167">
        <f t="shared" si="1"/>
        <v>5109.100000000006</v>
      </c>
      <c r="M19" s="213">
        <f t="shared" si="2"/>
        <v>1.09410549039255</v>
      </c>
      <c r="N19" s="164">
        <f>E19-червень!E19</f>
        <v>11500</v>
      </c>
      <c r="O19" s="168">
        <f>F19-червень!F19</f>
        <v>5440.190000000002</v>
      </c>
      <c r="P19" s="167">
        <f t="shared" si="6"/>
        <v>-6059.809999999998</v>
      </c>
      <c r="Q19" s="165">
        <f t="shared" si="7"/>
        <v>47.30600000000002</v>
      </c>
      <c r="R19" s="294">
        <v>8800</v>
      </c>
      <c r="S19" s="100">
        <f t="shared" si="8"/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36348</v>
      </c>
      <c r="G20" s="253">
        <f t="shared" si="0"/>
        <v>-6102</v>
      </c>
      <c r="H20" s="195">
        <f t="shared" si="3"/>
        <v>85.62544169611307</v>
      </c>
      <c r="I20" s="254">
        <f t="shared" si="4"/>
        <v>-40152</v>
      </c>
      <c r="J20" s="254">
        <f t="shared" si="5"/>
        <v>47.51372549019608</v>
      </c>
      <c r="K20" s="255">
        <v>54291.2</v>
      </c>
      <c r="L20" s="166">
        <f t="shared" si="1"/>
        <v>-17943.199999999997</v>
      </c>
      <c r="M20" s="256">
        <f t="shared" si="2"/>
        <v>0.6695007662383591</v>
      </c>
      <c r="N20" s="195">
        <f>E20-червень!E20</f>
        <v>6550</v>
      </c>
      <c r="O20" s="179">
        <f>F20-червень!F20</f>
        <v>5112.740000000002</v>
      </c>
      <c r="P20" s="166">
        <f t="shared" si="6"/>
        <v>-1437.2599999999984</v>
      </c>
      <c r="Q20" s="254">
        <f t="shared" si="7"/>
        <v>78.05709923664125</v>
      </c>
      <c r="R20" s="104">
        <v>4450</v>
      </c>
      <c r="S20" s="104">
        <f t="shared" si="8"/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/>
      <c r="I21" s="254">
        <f t="shared" si="4"/>
        <v>-5757.68</v>
      </c>
      <c r="J21" s="254">
        <f t="shared" si="5"/>
        <v>46.18990654205607</v>
      </c>
      <c r="K21" s="255">
        <v>0</v>
      </c>
      <c r="L21" s="166">
        <f t="shared" si="1"/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6"/>
        <v>-756.0100000000002</v>
      </c>
      <c r="Q21" s="254"/>
      <c r="R21" s="104">
        <v>900</v>
      </c>
      <c r="S21" s="104">
        <f t="shared" si="8"/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/>
      <c r="I22" s="254">
        <f t="shared" si="4"/>
        <v>-24689.95</v>
      </c>
      <c r="J22" s="254">
        <f t="shared" si="5"/>
        <v>42.313200934579434</v>
      </c>
      <c r="K22" s="255">
        <v>0</v>
      </c>
      <c r="L22" s="166">
        <f t="shared" si="1"/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6"/>
        <v>-3866.470000000001</v>
      </c>
      <c r="Q22" s="254"/>
      <c r="R22" s="104">
        <v>3800</v>
      </c>
      <c r="S22" s="104">
        <f t="shared" si="8"/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246365.43</v>
      </c>
      <c r="G23" s="150">
        <f t="shared" si="0"/>
        <v>7076.229999999981</v>
      </c>
      <c r="H23" s="157">
        <f t="shared" si="3"/>
        <v>102.95718736992725</v>
      </c>
      <c r="I23" s="158">
        <f t="shared" si="4"/>
        <v>-154764.66999999998</v>
      </c>
      <c r="J23" s="158">
        <f t="shared" si="5"/>
        <v>61.417836756703124</v>
      </c>
      <c r="K23" s="158">
        <v>193690.84</v>
      </c>
      <c r="L23" s="161">
        <f t="shared" si="1"/>
        <v>52674.59</v>
      </c>
      <c r="M23" s="209">
        <f t="shared" si="2"/>
        <v>1.2719518899293327</v>
      </c>
      <c r="N23" s="157">
        <f>E23-червень!E23</f>
        <v>39664.600000000035</v>
      </c>
      <c r="O23" s="160">
        <f>F23-червень!F23</f>
        <v>42561.31</v>
      </c>
      <c r="P23" s="161">
        <f t="shared" si="6"/>
        <v>2896.7099999999627</v>
      </c>
      <c r="Q23" s="158">
        <f t="shared" si="7"/>
        <v>107.30301074509754</v>
      </c>
      <c r="R23" s="288">
        <f>R24+R33+R35</f>
        <v>22714</v>
      </c>
      <c r="S23" s="294">
        <f t="shared" si="8"/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120634.7</v>
      </c>
      <c r="G24" s="150">
        <f t="shared" si="0"/>
        <v>563.8000000000029</v>
      </c>
      <c r="H24" s="157">
        <f t="shared" si="3"/>
        <v>100.46955590405335</v>
      </c>
      <c r="I24" s="158">
        <f t="shared" si="4"/>
        <v>-85986.3</v>
      </c>
      <c r="J24" s="158">
        <f t="shared" si="5"/>
        <v>58.384530130044865</v>
      </c>
      <c r="K24" s="158">
        <v>105956.73</v>
      </c>
      <c r="L24" s="161">
        <f t="shared" si="1"/>
        <v>14677.970000000001</v>
      </c>
      <c r="M24" s="209">
        <f t="shared" si="2"/>
        <v>1.138527963254434</v>
      </c>
      <c r="N24" s="157">
        <f>E24-червень!E24</f>
        <v>21398</v>
      </c>
      <c r="O24" s="160">
        <f>F24-червень!F24</f>
        <v>21241.03</v>
      </c>
      <c r="P24" s="161">
        <f t="shared" si="6"/>
        <v>-156.97000000000116</v>
      </c>
      <c r="Q24" s="158">
        <f t="shared" si="7"/>
        <v>99.2664267688569</v>
      </c>
      <c r="R24" s="293">
        <f>R25+R28+R29</f>
        <v>15007</v>
      </c>
      <c r="S24" s="293">
        <f t="shared" si="8"/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</v>
      </c>
      <c r="G25" s="171">
        <f t="shared" si="0"/>
        <v>662.8999999999996</v>
      </c>
      <c r="H25" s="173">
        <f t="shared" si="3"/>
        <v>104.3614424538295</v>
      </c>
      <c r="I25" s="174">
        <f t="shared" si="4"/>
        <v>-6947</v>
      </c>
      <c r="J25" s="174">
        <f t="shared" si="5"/>
        <v>69.54272436318996</v>
      </c>
      <c r="K25" s="175">
        <v>13870.14</v>
      </c>
      <c r="L25" s="166">
        <f t="shared" si="1"/>
        <v>1991.8600000000006</v>
      </c>
      <c r="M25" s="215">
        <f t="shared" si="2"/>
        <v>1.1436077790130454</v>
      </c>
      <c r="N25" s="195">
        <f>E25-червень!E25</f>
        <v>4810</v>
      </c>
      <c r="O25" s="179">
        <f>F25-червень!F25</f>
        <v>4776.469999999999</v>
      </c>
      <c r="P25" s="177">
        <f t="shared" si="6"/>
        <v>-33.530000000000655</v>
      </c>
      <c r="Q25" s="174">
        <f t="shared" si="7"/>
        <v>99.30291060291059</v>
      </c>
      <c r="R25" s="104">
        <v>800</v>
      </c>
      <c r="S25" s="104">
        <f t="shared" si="8"/>
        <v>3976.4699999999993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1160</v>
      </c>
      <c r="F26" s="163">
        <v>395.55</v>
      </c>
      <c r="G26" s="198">
        <f t="shared" si="0"/>
        <v>-764.45</v>
      </c>
      <c r="H26" s="199">
        <f t="shared" si="3"/>
        <v>34.099137931034484</v>
      </c>
      <c r="I26" s="200">
        <f t="shared" si="4"/>
        <v>-1426.75</v>
      </c>
      <c r="J26" s="200">
        <f t="shared" si="5"/>
        <v>21.706085715853593</v>
      </c>
      <c r="K26" s="200">
        <v>537.83</v>
      </c>
      <c r="L26" s="200">
        <f t="shared" si="1"/>
        <v>-142.28000000000003</v>
      </c>
      <c r="M26" s="228">
        <f t="shared" si="2"/>
        <v>0.7354554413104513</v>
      </c>
      <c r="N26" s="237">
        <f>E26-червень!E26</f>
        <v>450</v>
      </c>
      <c r="O26" s="237">
        <f>F26-червень!F26</f>
        <v>182.29000000000002</v>
      </c>
      <c r="P26" s="200">
        <f t="shared" si="6"/>
        <v>-267.71</v>
      </c>
      <c r="Q26" s="200">
        <f t="shared" si="7"/>
        <v>40.5088888888889</v>
      </c>
      <c r="R26" s="104"/>
      <c r="S26" s="104">
        <f t="shared" si="8"/>
        <v>182.29000000000002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14039.1</v>
      </c>
      <c r="F27" s="163">
        <v>15354.89</v>
      </c>
      <c r="G27" s="198">
        <f t="shared" si="0"/>
        <v>1315.789999999999</v>
      </c>
      <c r="H27" s="199">
        <f t="shared" si="3"/>
        <v>109.37232443675164</v>
      </c>
      <c r="I27" s="200">
        <f t="shared" si="4"/>
        <v>-5631.810000000001</v>
      </c>
      <c r="J27" s="200">
        <f t="shared" si="5"/>
        <v>73.16486155517542</v>
      </c>
      <c r="K27" s="200">
        <v>13332.31</v>
      </c>
      <c r="L27" s="200">
        <f t="shared" si="1"/>
        <v>2022.58</v>
      </c>
      <c r="M27" s="228">
        <f t="shared" si="2"/>
        <v>1.1517051433697536</v>
      </c>
      <c r="N27" s="237">
        <f>E27-червень!E27</f>
        <v>4360</v>
      </c>
      <c r="O27" s="237">
        <f>F27-червень!F27</f>
        <v>4482.629999999999</v>
      </c>
      <c r="P27" s="200">
        <f t="shared" si="6"/>
        <v>122.6299999999992</v>
      </c>
      <c r="Q27" s="200">
        <f t="shared" si="7"/>
        <v>102.81261467889907</v>
      </c>
      <c r="R27" s="104"/>
      <c r="S27" s="104">
        <f t="shared" si="8"/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</v>
      </c>
      <c r="G28" s="171">
        <f t="shared" si="0"/>
        <v>-297.6</v>
      </c>
      <c r="H28" s="173">
        <f t="shared" si="3"/>
        <v>-15.887850467289718</v>
      </c>
      <c r="I28" s="174">
        <f t="shared" si="4"/>
        <v>-860.8</v>
      </c>
      <c r="J28" s="174">
        <f t="shared" si="5"/>
        <v>-4.975609756097561</v>
      </c>
      <c r="K28" s="174">
        <v>478.8</v>
      </c>
      <c r="L28" s="174">
        <f t="shared" si="1"/>
        <v>-519.6</v>
      </c>
      <c r="M28" s="212">
        <f t="shared" si="2"/>
        <v>-0.08521303258145363</v>
      </c>
      <c r="N28" s="195">
        <f>E28-червень!E28</f>
        <v>123</v>
      </c>
      <c r="O28" s="179">
        <f>F28-червень!F28</f>
        <v>48.43000000000001</v>
      </c>
      <c r="P28" s="177">
        <f t="shared" si="6"/>
        <v>-74.57</v>
      </c>
      <c r="Q28" s="174">
        <f>O28/N28*100</f>
        <v>39.373983739837406</v>
      </c>
      <c r="R28" s="104">
        <v>-25</v>
      </c>
      <c r="S28" s="104">
        <f t="shared" si="8"/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 t="shared" si="0"/>
        <v>198.5</v>
      </c>
      <c r="H29" s="173">
        <f t="shared" si="3"/>
        <v>100.18974334464465</v>
      </c>
      <c r="I29" s="174">
        <f t="shared" si="4"/>
        <v>-78178.5</v>
      </c>
      <c r="J29" s="174">
        <f t="shared" si="5"/>
        <v>57.277640552592466</v>
      </c>
      <c r="K29" s="175">
        <v>91607.79</v>
      </c>
      <c r="L29" s="175">
        <f t="shared" si="1"/>
        <v>13205.710000000006</v>
      </c>
      <c r="M29" s="211">
        <f t="shared" si="2"/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 t="shared" si="6"/>
        <v>-48.86999999999534</v>
      </c>
      <c r="Q29" s="174">
        <f>O29/N29*100</f>
        <v>99.7031885818403</v>
      </c>
      <c r="R29" s="104">
        <v>14232</v>
      </c>
      <c r="S29" s="104">
        <f t="shared" si="8"/>
        <v>2184.1300000000047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98">
        <f t="shared" si="0"/>
        <v>3081.6900000000023</v>
      </c>
      <c r="H30" s="199">
        <f t="shared" si="3"/>
        <v>109.41980742778543</v>
      </c>
      <c r="I30" s="200">
        <f t="shared" si="4"/>
        <v>-21736.309999999998</v>
      </c>
      <c r="J30" s="200">
        <f t="shared" si="5"/>
        <v>62.219404515669275</v>
      </c>
      <c r="K30" s="200">
        <v>29285.76</v>
      </c>
      <c r="L30" s="200">
        <f t="shared" si="1"/>
        <v>6510.930000000004</v>
      </c>
      <c r="M30" s="228">
        <f t="shared" si="2"/>
        <v>1.2223240919819054</v>
      </c>
      <c r="N30" s="237">
        <f>E30-червень!E30</f>
        <v>5935</v>
      </c>
      <c r="O30" s="237">
        <f>F30-червень!F30</f>
        <v>5138.740000000002</v>
      </c>
      <c r="P30" s="200">
        <f t="shared" si="6"/>
        <v>-796.2599999999984</v>
      </c>
      <c r="Q30" s="200">
        <f>O30/N30*100</f>
        <v>86.5836562763269</v>
      </c>
      <c r="R30" s="107"/>
      <c r="S30" s="100">
        <f t="shared" si="8"/>
        <v>5138.740000000002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98">
        <f t="shared" si="0"/>
        <v>-3451</v>
      </c>
      <c r="H31" s="199">
        <f t="shared" si="3"/>
        <v>95.20027816411682</v>
      </c>
      <c r="I31" s="200">
        <f t="shared" si="4"/>
        <v>-57010</v>
      </c>
      <c r="J31" s="200">
        <f t="shared" si="5"/>
        <v>54.558859866569954</v>
      </c>
      <c r="K31" s="200">
        <v>62322.03</v>
      </c>
      <c r="L31" s="200">
        <f t="shared" si="1"/>
        <v>6126.970000000001</v>
      </c>
      <c r="M31" s="228">
        <f t="shared" si="2"/>
        <v>1.0983114638595695</v>
      </c>
      <c r="N31" s="237">
        <f>E31-червень!E31</f>
        <v>10530</v>
      </c>
      <c r="O31" s="237">
        <f>F31-червень!F31</f>
        <v>10709.580000000002</v>
      </c>
      <c r="P31" s="200">
        <f t="shared" si="6"/>
        <v>179.58000000000175</v>
      </c>
      <c r="Q31" s="200">
        <f>O31/N31*100</f>
        <v>101.70541310541313</v>
      </c>
      <c r="R31" s="107"/>
      <c r="S31" s="100">
        <f t="shared" si="8"/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0.15</v>
      </c>
      <c r="L32" s="158">
        <f t="shared" si="1"/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 t="shared" si="6"/>
        <v>0</v>
      </c>
      <c r="Q32" s="158"/>
      <c r="R32" s="293"/>
      <c r="S32" s="293">
        <f t="shared" si="8"/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 t="shared" si="0"/>
        <v>30.85</v>
      </c>
      <c r="H33" s="157">
        <f t="shared" si="3"/>
        <v>155.48561151079136</v>
      </c>
      <c r="I33" s="158">
        <f t="shared" si="4"/>
        <v>-28.549999999999997</v>
      </c>
      <c r="J33" s="158">
        <f t="shared" si="5"/>
        <v>75.17391304347827</v>
      </c>
      <c r="K33" s="158">
        <v>65.62</v>
      </c>
      <c r="L33" s="158">
        <f t="shared" si="1"/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 t="shared" si="6"/>
        <v>-2.3800000000000026</v>
      </c>
      <c r="Q33" s="158">
        <f>O33/N33*100</f>
        <v>75.20833333333331</v>
      </c>
      <c r="R33" s="293">
        <v>7</v>
      </c>
      <c r="S33" s="293">
        <f t="shared" si="8"/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 t="shared" si="0"/>
        <v>-34.92</v>
      </c>
      <c r="H34" s="157"/>
      <c r="I34" s="158">
        <f t="shared" si="4"/>
        <v>-34.92</v>
      </c>
      <c r="J34" s="158"/>
      <c r="K34" s="158">
        <v>-138.73</v>
      </c>
      <c r="L34" s="158">
        <f t="shared" si="1"/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 t="shared" si="6"/>
        <v>-3.6000000000000014</v>
      </c>
      <c r="Q34" s="158"/>
      <c r="R34" s="293"/>
      <c r="S34" s="293">
        <f t="shared" si="8"/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125679</v>
      </c>
      <c r="G35" s="162">
        <f t="shared" si="0"/>
        <v>6516.300000000003</v>
      </c>
      <c r="H35" s="164">
        <f t="shared" si="3"/>
        <v>105.46840580147983</v>
      </c>
      <c r="I35" s="165">
        <f t="shared" si="4"/>
        <v>-68715.1</v>
      </c>
      <c r="J35" s="165">
        <f t="shared" si="5"/>
        <v>64.65165352240628</v>
      </c>
      <c r="K35" s="178">
        <v>87807.07</v>
      </c>
      <c r="L35" s="178">
        <f>F35-K35</f>
        <v>37871.92999999999</v>
      </c>
      <c r="M35" s="226">
        <f>F35/K35</f>
        <v>1.4313084356419135</v>
      </c>
      <c r="N35" s="157">
        <f>E35-червень!E35</f>
        <v>18257</v>
      </c>
      <c r="O35" s="160">
        <f>F35-червень!F35</f>
        <v>21316.660000000003</v>
      </c>
      <c r="P35" s="167">
        <f t="shared" si="6"/>
        <v>3059.6600000000035</v>
      </c>
      <c r="Q35" s="165">
        <f>O35/N35*100</f>
        <v>116.7588322287342</v>
      </c>
      <c r="R35" s="293">
        <v>7700</v>
      </c>
      <c r="S35" s="293">
        <f t="shared" si="8"/>
        <v>13616.660000000003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0.22</v>
      </c>
      <c r="L36" s="127">
        <f t="shared" si="1"/>
        <v>-0.21</v>
      </c>
      <c r="M36" s="216">
        <f aca="true" t="shared" si="9" ref="M36:M42">F36/K36</f>
        <v>0.045454545454545456</v>
      </c>
      <c r="N36" s="105">
        <f>E36-червень!E36</f>
        <v>0</v>
      </c>
      <c r="O36" s="144">
        <f>F36-червень!F36</f>
        <v>0</v>
      </c>
      <c r="P36" s="106">
        <f t="shared" si="6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 t="shared" si="0"/>
        <v>685.7799999999988</v>
      </c>
      <c r="H37" s="105">
        <f t="shared" si="3"/>
        <v>102.94705629565964</v>
      </c>
      <c r="I37" s="104">
        <f t="shared" si="4"/>
        <v>-17044.22</v>
      </c>
      <c r="J37" s="104">
        <f t="shared" si="5"/>
        <v>58.42873170731707</v>
      </c>
      <c r="K37" s="127">
        <v>21754.51</v>
      </c>
      <c r="L37" s="127">
        <f t="shared" si="1"/>
        <v>2201.2700000000004</v>
      </c>
      <c r="M37" s="216">
        <f t="shared" si="9"/>
        <v>1.1011868343621622</v>
      </c>
      <c r="N37" s="105">
        <f>E37-червень!E37</f>
        <v>3250</v>
      </c>
      <c r="O37" s="144">
        <f>F37-червень!F37</f>
        <v>3667.7199999999975</v>
      </c>
      <c r="P37" s="106">
        <f t="shared" si="6"/>
        <v>417.7199999999975</v>
      </c>
      <c r="Q37" s="104">
        <f>O37/N37*100</f>
        <v>112.852923076923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 t="shared" si="0"/>
        <v>4988.110000000001</v>
      </c>
      <c r="H38" s="105">
        <f t="shared" si="3"/>
        <v>105.20353640726059</v>
      </c>
      <c r="I38" s="104">
        <f t="shared" si="4"/>
        <v>-52490.990000000005</v>
      </c>
      <c r="J38" s="104">
        <f t="shared" si="5"/>
        <v>65.76803307179969</v>
      </c>
      <c r="K38" s="127">
        <v>66031.82</v>
      </c>
      <c r="L38" s="127">
        <f t="shared" si="1"/>
        <v>34816.28999999999</v>
      </c>
      <c r="M38" s="216">
        <f t="shared" si="9"/>
        <v>1.5272653396498839</v>
      </c>
      <c r="N38" s="105">
        <f>E38-червень!E38</f>
        <v>15000</v>
      </c>
      <c r="O38" s="144">
        <f>F38-червень!F38</f>
        <v>16797.339999999997</v>
      </c>
      <c r="P38" s="106">
        <f t="shared" si="6"/>
        <v>1797.3399999999965</v>
      </c>
      <c r="Q38" s="104">
        <f>O38/N38*100</f>
        <v>111.98226666666665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 t="shared" si="0"/>
        <v>-2.6300000000000026</v>
      </c>
      <c r="H39" s="105">
        <f t="shared" si="3"/>
        <v>91.95718654434249</v>
      </c>
      <c r="I39" s="104">
        <f t="shared" si="4"/>
        <v>-24.93</v>
      </c>
      <c r="J39" s="104">
        <f t="shared" si="5"/>
        <v>54.67272727272727</v>
      </c>
      <c r="K39" s="127">
        <v>20.52</v>
      </c>
      <c r="L39" s="127">
        <f t="shared" si="1"/>
        <v>9.55</v>
      </c>
      <c r="M39" s="216">
        <f t="shared" si="9"/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 t="shared" si="6"/>
        <v>-0.43000000000000327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v>0</v>
      </c>
      <c r="O40" s="160">
        <v>0</v>
      </c>
      <c r="P40" s="36">
        <f t="shared" si="6"/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40463.59</v>
      </c>
      <c r="G41" s="287">
        <f>G42+G43+G44+G45+G46+G48+G50+G51+G52+G53+G54+G59+G60+G64+G47+G49</f>
        <v>5269.89</v>
      </c>
      <c r="H41" s="152">
        <f>F41/E41*100</f>
        <v>114.97395840732858</v>
      </c>
      <c r="I41" s="153">
        <f>F41-D41</f>
        <v>-18561.410000000003</v>
      </c>
      <c r="J41" s="153">
        <f>F41/D41*100</f>
        <v>68.55330792037272</v>
      </c>
      <c r="K41" s="151">
        <v>36786.28</v>
      </c>
      <c r="L41" s="151">
        <f t="shared" si="1"/>
        <v>3677.3099999999977</v>
      </c>
      <c r="M41" s="205">
        <f t="shared" si="9"/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6405.130000000001</v>
      </c>
      <c r="P41" s="151">
        <f>P42+P43+P44+P45+P46+P48+P50+P51+P52+P53+P54+P59+P60+P64</f>
        <v>1118.4200000000005</v>
      </c>
      <c r="Q41" s="151">
        <f>O41/N41*100</f>
        <v>121.364445960285</v>
      </c>
      <c r="R41" s="15">
        <f>R42+R43+R44+R45+R46+R47+R48+R50+R51+R52+R53+R54+R59+R60+R64</f>
        <v>5598.5</v>
      </c>
      <c r="S41" s="15">
        <f>O41-R41</f>
        <v>806.630000000001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 aca="true" t="shared" si="10" ref="H42:H65"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 t="shared" si="1"/>
        <v>1963.9300000000003</v>
      </c>
      <c r="M42" s="218">
        <f t="shared" si="9"/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 t="e">
        <f aca="true" t="shared" si="11" ref="Q42:Q65">O42/N42*100</f>
        <v>#DIV/0!</v>
      </c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t="shared" si="10"/>
        <v>96.31896969696969</v>
      </c>
      <c r="I43" s="165">
        <f aca="true" t="shared" si="13" ref="I43:I66">F43-D43</f>
        <v>-14107.37</v>
      </c>
      <c r="J43" s="165">
        <f>F43/D43*100</f>
        <v>52.975433333333335</v>
      </c>
      <c r="K43" s="165">
        <v>17271.02</v>
      </c>
      <c r="L43" s="165">
        <f t="shared" si="1"/>
        <v>-1378.3900000000012</v>
      </c>
      <c r="M43" s="218"/>
      <c r="N43" s="164">
        <f>E43-червень!E43</f>
        <v>2800</v>
      </c>
      <c r="O43" s="168">
        <f>F43-червень!F43</f>
        <v>2538.99</v>
      </c>
      <c r="P43" s="167">
        <f aca="true" t="shared" si="14" ref="P43:P66">O43-N43</f>
        <v>-261.0100000000002</v>
      </c>
      <c r="Q43" s="165">
        <f t="shared" si="11"/>
        <v>90.67821428571428</v>
      </c>
      <c r="R43" s="37">
        <v>2874.5</v>
      </c>
      <c r="S43" s="37">
        <f aca="true" t="shared" si="15" ref="S43:S66">O43-R43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>F44/E44*100</f>
        <v>514.3478260869565</v>
      </c>
      <c r="I44" s="165">
        <f t="shared" si="13"/>
        <v>78.3</v>
      </c>
      <c r="J44" s="165">
        <f aca="true" t="shared" si="16" ref="J44:J65">F44/D44*100</f>
        <v>295.75</v>
      </c>
      <c r="K44" s="165">
        <v>28.07</v>
      </c>
      <c r="L44" s="165">
        <f t="shared" si="1"/>
        <v>90.22999999999999</v>
      </c>
      <c r="M44" s="218">
        <f aca="true" t="shared" si="17" ref="M44:M66">F44/K44</f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4"/>
        <v>14.5</v>
      </c>
      <c r="Q44" s="165">
        <f t="shared" si="11"/>
        <v>1550</v>
      </c>
      <c r="R44" s="37">
        <v>10</v>
      </c>
      <c r="S44" s="37">
        <f t="shared" si="15"/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>F45/E45*100</f>
        <v>#DIV/0!</v>
      </c>
      <c r="I45" s="165">
        <f t="shared" si="13"/>
        <v>10.79</v>
      </c>
      <c r="J45" s="165" t="e">
        <f t="shared" si="16"/>
        <v>#DIV/0!</v>
      </c>
      <c r="K45" s="165">
        <v>0.1</v>
      </c>
      <c r="L45" s="165">
        <f t="shared" si="1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4"/>
        <v>8.76</v>
      </c>
      <c r="Q45" s="165" t="e">
        <f t="shared" si="11"/>
        <v>#DIV/0!</v>
      </c>
      <c r="R45" s="37">
        <v>0</v>
      </c>
      <c r="S45" s="37">
        <f t="shared" si="15"/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545.6</v>
      </c>
      <c r="G46" s="162">
        <f t="shared" si="12"/>
        <v>395.6</v>
      </c>
      <c r="H46" s="164">
        <f t="shared" si="10"/>
        <v>363.73333333333335</v>
      </c>
      <c r="I46" s="165">
        <f t="shared" si="13"/>
        <v>285.6</v>
      </c>
      <c r="J46" s="165">
        <f t="shared" si="16"/>
        <v>209.84615384615384</v>
      </c>
      <c r="K46" s="165">
        <v>187.96</v>
      </c>
      <c r="L46" s="165">
        <f t="shared" si="1"/>
        <v>357.64</v>
      </c>
      <c r="M46" s="218">
        <f t="shared" si="17"/>
        <v>2.9027452649499894</v>
      </c>
      <c r="N46" s="164">
        <f>E46-червень!E46</f>
        <v>22</v>
      </c>
      <c r="O46" s="168">
        <f>F46-червень!F46</f>
        <v>44.07000000000005</v>
      </c>
      <c r="P46" s="167">
        <f t="shared" si="14"/>
        <v>22.07000000000005</v>
      </c>
      <c r="Q46" s="165">
        <f t="shared" si="11"/>
        <v>200.31818181818207</v>
      </c>
      <c r="R46" s="37">
        <v>70</v>
      </c>
      <c r="S46" s="37">
        <f t="shared" si="15"/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0"/>
        <v>116.06209150326796</v>
      </c>
      <c r="I47" s="165">
        <f t="shared" si="13"/>
        <v>-26.47</v>
      </c>
      <c r="J47" s="165">
        <f t="shared" si="16"/>
        <v>72.85128205128206</v>
      </c>
      <c r="K47" s="165">
        <v>27.48</v>
      </c>
      <c r="L47" s="165">
        <f t="shared" si="1"/>
        <v>43.55</v>
      </c>
      <c r="M47" s="218"/>
      <c r="N47" s="164">
        <f>E47-червень!E47</f>
        <v>13.600000000000001</v>
      </c>
      <c r="O47" s="168">
        <f>F47-червень!F47</f>
        <v>0.01999999999999602</v>
      </c>
      <c r="P47" s="167">
        <f t="shared" si="14"/>
        <v>-13.580000000000005</v>
      </c>
      <c r="Q47" s="165">
        <f t="shared" si="11"/>
        <v>0.1470588235293825</v>
      </c>
      <c r="R47" s="37">
        <v>0</v>
      </c>
      <c r="S47" s="37">
        <f t="shared" si="15"/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0"/>
        <v>137.42307692307693</v>
      </c>
      <c r="I48" s="165">
        <f t="shared" si="13"/>
        <v>-15.399999999999977</v>
      </c>
      <c r="J48" s="165">
        <f t="shared" si="16"/>
        <v>97.89041095890411</v>
      </c>
      <c r="K48" s="165">
        <v>248.37</v>
      </c>
      <c r="L48" s="165">
        <f t="shared" si="1"/>
        <v>466.23</v>
      </c>
      <c r="M48" s="218"/>
      <c r="N48" s="164">
        <f>E48-червень!E48</f>
        <v>60</v>
      </c>
      <c r="O48" s="168">
        <f>F48-червень!F48</f>
        <v>85.68000000000006</v>
      </c>
      <c r="P48" s="167">
        <f t="shared" si="14"/>
        <v>25.680000000000064</v>
      </c>
      <c r="Q48" s="165">
        <f t="shared" si="11"/>
        <v>142.8000000000001</v>
      </c>
      <c r="R48" s="37">
        <v>100</v>
      </c>
      <c r="S48" s="37">
        <f t="shared" si="15"/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/>
      <c r="I49" s="165">
        <f t="shared" si="13"/>
        <v>23.38</v>
      </c>
      <c r="J49" s="165"/>
      <c r="K49" s="165"/>
      <c r="L49" s="165">
        <f t="shared" si="1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/>
      <c r="Q49" s="165"/>
      <c r="R49" s="37"/>
      <c r="S49" s="37">
        <f t="shared" si="15"/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10784</v>
      </c>
      <c r="G50" s="162">
        <f t="shared" si="12"/>
        <v>3744</v>
      </c>
      <c r="H50" s="164">
        <f t="shared" si="10"/>
        <v>153.1818181818182</v>
      </c>
      <c r="I50" s="165">
        <f t="shared" si="13"/>
        <v>-216</v>
      </c>
      <c r="J50" s="165">
        <f t="shared" si="16"/>
        <v>98.03636363636363</v>
      </c>
      <c r="K50" s="165">
        <v>6090.63</v>
      </c>
      <c r="L50" s="165">
        <f t="shared" si="1"/>
        <v>4693.37</v>
      </c>
      <c r="M50" s="218">
        <f t="shared" si="17"/>
        <v>1.7705885926414837</v>
      </c>
      <c r="N50" s="164">
        <f>E50-червень!E50</f>
        <v>1000</v>
      </c>
      <c r="O50" s="168">
        <f>F50-червень!F50</f>
        <v>2419.6900000000005</v>
      </c>
      <c r="P50" s="167">
        <f t="shared" si="14"/>
        <v>1419.6900000000005</v>
      </c>
      <c r="Q50" s="165">
        <f t="shared" si="11"/>
        <v>241.96900000000005</v>
      </c>
      <c r="R50" s="37">
        <v>1400</v>
      </c>
      <c r="S50" s="37">
        <f t="shared" si="15"/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306.2</v>
      </c>
      <c r="G51" s="162">
        <f t="shared" si="12"/>
        <v>131.2</v>
      </c>
      <c r="H51" s="164">
        <f t="shared" si="10"/>
        <v>174.97142857142856</v>
      </c>
      <c r="I51" s="165">
        <f t="shared" si="13"/>
        <v>-3.8000000000000114</v>
      </c>
      <c r="J51" s="165">
        <f t="shared" si="16"/>
        <v>98.77419354838709</v>
      </c>
      <c r="K51" s="165">
        <v>117.39</v>
      </c>
      <c r="L51" s="165">
        <f t="shared" si="1"/>
        <v>188.81</v>
      </c>
      <c r="M51" s="218"/>
      <c r="N51" s="164">
        <f>E51-червень!E51</f>
        <v>25</v>
      </c>
      <c r="O51" s="168">
        <f>F51-червень!F51</f>
        <v>43.389999999999986</v>
      </c>
      <c r="P51" s="167">
        <f t="shared" si="14"/>
        <v>18.389999999999986</v>
      </c>
      <c r="Q51" s="165">
        <f t="shared" si="11"/>
        <v>173.55999999999995</v>
      </c>
      <c r="R51" s="37">
        <v>40</v>
      </c>
      <c r="S51" s="37">
        <f t="shared" si="15"/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0"/>
        <v>216</v>
      </c>
      <c r="I52" s="165">
        <f t="shared" si="13"/>
        <v>5.920000000000002</v>
      </c>
      <c r="J52" s="165">
        <f t="shared" si="16"/>
        <v>129.6</v>
      </c>
      <c r="K52" s="165">
        <v>8.54</v>
      </c>
      <c r="L52" s="165">
        <f t="shared" si="1"/>
        <v>17.380000000000003</v>
      </c>
      <c r="M52" s="218"/>
      <c r="N52" s="164">
        <f>E52-червень!E52</f>
        <v>1</v>
      </c>
      <c r="O52" s="168">
        <f>F52-червень!F52</f>
        <v>7.200000000000003</v>
      </c>
      <c r="P52" s="167">
        <f t="shared" si="14"/>
        <v>6.200000000000003</v>
      </c>
      <c r="Q52" s="165">
        <f t="shared" si="11"/>
        <v>720.0000000000002</v>
      </c>
      <c r="R52" s="37">
        <v>4</v>
      </c>
      <c r="S52" s="37">
        <f t="shared" si="15"/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0"/>
        <v>89.08564705882353</v>
      </c>
      <c r="I53" s="165">
        <f t="shared" si="13"/>
        <v>-3488.86</v>
      </c>
      <c r="J53" s="165">
        <f t="shared" si="16"/>
        <v>52.04316151202749</v>
      </c>
      <c r="K53" s="165">
        <v>4498</v>
      </c>
      <c r="L53" s="165">
        <f t="shared" si="1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4"/>
        <v>-86.21000000000004</v>
      </c>
      <c r="Q53" s="165">
        <f t="shared" si="11"/>
        <v>85.75041322314048</v>
      </c>
      <c r="R53" s="37">
        <v>550</v>
      </c>
      <c r="S53" s="37">
        <f t="shared" si="15"/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479.3</v>
      </c>
      <c r="G54" s="162">
        <f t="shared" si="12"/>
        <v>-210.7</v>
      </c>
      <c r="H54" s="164">
        <f t="shared" si="10"/>
        <v>69.46376811594203</v>
      </c>
      <c r="I54" s="165">
        <f t="shared" si="13"/>
        <v>-720.7</v>
      </c>
      <c r="J54" s="165">
        <f t="shared" si="16"/>
        <v>39.94166666666667</v>
      </c>
      <c r="K54" s="165">
        <v>3724.79</v>
      </c>
      <c r="L54" s="165">
        <f t="shared" si="1"/>
        <v>-3245.49</v>
      </c>
      <c r="M54" s="218">
        <f t="shared" si="17"/>
        <v>0.12867839529208358</v>
      </c>
      <c r="N54" s="164">
        <f>E54-червень!E54</f>
        <v>120</v>
      </c>
      <c r="O54" s="168">
        <f>F54-червень!F54</f>
        <v>90.88</v>
      </c>
      <c r="P54" s="167">
        <f t="shared" si="14"/>
        <v>-29.120000000000005</v>
      </c>
      <c r="Q54" s="165">
        <f t="shared" si="11"/>
        <v>75.73333333333333</v>
      </c>
      <c r="R54" s="37">
        <v>50</v>
      </c>
      <c r="S54" s="37">
        <f t="shared" si="15"/>
        <v>40.879999999999995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34">
        <f t="shared" si="12"/>
        <v>-172.04000000000002</v>
      </c>
      <c r="H55" s="30">
        <f t="shared" si="10"/>
        <v>70.33793103448276</v>
      </c>
      <c r="I55" s="104">
        <f t="shared" si="13"/>
        <v>-590.04</v>
      </c>
      <c r="J55" s="104">
        <f t="shared" si="16"/>
        <v>40.87775551102204</v>
      </c>
      <c r="K55" s="104">
        <v>504.14</v>
      </c>
      <c r="L55" s="104">
        <f>F55-K55</f>
        <v>-96.18</v>
      </c>
      <c r="M55" s="109">
        <f t="shared" si="17"/>
        <v>0.8092196612052207</v>
      </c>
      <c r="N55" s="105">
        <f>E55-червень!E55</f>
        <v>100</v>
      </c>
      <c r="O55" s="144">
        <f>F55-червень!F55</f>
        <v>75.43</v>
      </c>
      <c r="P55" s="106">
        <f t="shared" si="14"/>
        <v>-24.569999999999993</v>
      </c>
      <c r="Q55" s="119">
        <f t="shared" si="11"/>
        <v>75.43</v>
      </c>
      <c r="R55" s="37"/>
      <c r="S55" s="37">
        <f t="shared" si="15"/>
        <v>75.43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0.26</v>
      </c>
      <c r="L56" s="104">
        <f>F56-K56</f>
        <v>-0.11000000000000001</v>
      </c>
      <c r="M56" s="109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06">
        <f t="shared" si="14"/>
        <v>0</v>
      </c>
      <c r="Q56" s="119" t="e">
        <f t="shared" si="11"/>
        <v>#DIV/0!</v>
      </c>
      <c r="R56" s="37"/>
      <c r="S56" s="37">
        <f t="shared" si="15"/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E57-червень!E57</f>
        <v>0</v>
      </c>
      <c r="O57" s="144">
        <f>F57-червень!F57</f>
        <v>0</v>
      </c>
      <c r="P57" s="106">
        <f t="shared" si="14"/>
        <v>0</v>
      </c>
      <c r="Q57" s="119"/>
      <c r="R57" s="37"/>
      <c r="S57" s="37">
        <f t="shared" si="15"/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34">
        <f t="shared" si="12"/>
        <v>-40.86</v>
      </c>
      <c r="H58" s="30">
        <f t="shared" si="10"/>
        <v>62.85454545454545</v>
      </c>
      <c r="I58" s="104">
        <f t="shared" si="13"/>
        <v>-130.86</v>
      </c>
      <c r="J58" s="104">
        <f t="shared" si="16"/>
        <v>34.57</v>
      </c>
      <c r="K58" s="104">
        <v>3220.38</v>
      </c>
      <c r="L58" s="104">
        <f>F58-K58</f>
        <v>-3151.2400000000002</v>
      </c>
      <c r="M58" s="109">
        <f t="shared" si="17"/>
        <v>0.02146951601984859</v>
      </c>
      <c r="N58" s="105">
        <f>E58-червень!E58</f>
        <v>20</v>
      </c>
      <c r="O58" s="144">
        <f>F58-червень!F58</f>
        <v>13.399999999999999</v>
      </c>
      <c r="P58" s="106">
        <f t="shared" si="14"/>
        <v>-6.600000000000001</v>
      </c>
      <c r="Q58" s="119">
        <f t="shared" si="11"/>
        <v>67</v>
      </c>
      <c r="R58" s="37"/>
      <c r="S58" s="37">
        <f t="shared" si="15"/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0"/>
        <v>99.6007326007326</v>
      </c>
      <c r="I60" s="165">
        <f t="shared" si="13"/>
        <v>-1911.8000000000002</v>
      </c>
      <c r="J60" s="165">
        <f t="shared" si="16"/>
        <v>73.9891156462585</v>
      </c>
      <c r="K60" s="165">
        <v>4261.9</v>
      </c>
      <c r="L60" s="165">
        <f aca="true" t="shared" si="18" ref="L60:L66">F60-K60</f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4"/>
        <v>3.4200000000000728</v>
      </c>
      <c r="Q60" s="165">
        <f t="shared" si="11"/>
        <v>100.57000000000001</v>
      </c>
      <c r="R60" s="37">
        <v>500</v>
      </c>
      <c r="S60" s="37">
        <f t="shared" si="15"/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1230</v>
      </c>
      <c r="G62" s="162"/>
      <c r="H62" s="164"/>
      <c r="I62" s="165"/>
      <c r="J62" s="165"/>
      <c r="K62" s="166">
        <v>731.46</v>
      </c>
      <c r="L62" s="165">
        <f t="shared" si="18"/>
        <v>498.53999999999996</v>
      </c>
      <c r="M62" s="218">
        <f t="shared" si="17"/>
        <v>1.6815683701090969</v>
      </c>
      <c r="N62" s="195"/>
      <c r="O62" s="179">
        <f>F62-червень!F62</f>
        <v>160.28999999999996</v>
      </c>
      <c r="P62" s="166"/>
      <c r="Q62" s="165"/>
      <c r="R62" s="37"/>
      <c r="S62" s="37">
        <f t="shared" si="15"/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0"/>
        <v>120.28000000000002</v>
      </c>
      <c r="I64" s="165">
        <f t="shared" si="13"/>
        <v>-99.86</v>
      </c>
      <c r="J64" s="165">
        <f t="shared" si="16"/>
        <v>37.5875</v>
      </c>
      <c r="K64" s="165">
        <v>78.18</v>
      </c>
      <c r="L64" s="165">
        <f t="shared" si="18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4"/>
        <v>-24.5</v>
      </c>
      <c r="Q64" s="165"/>
      <c r="R64" s="37">
        <v>0</v>
      </c>
      <c r="S64" s="37">
        <f t="shared" si="15"/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0"/>
        <v>324.31818181818176</v>
      </c>
      <c r="I65" s="165">
        <f t="shared" si="13"/>
        <v>13.54</v>
      </c>
      <c r="J65" s="165">
        <f t="shared" si="16"/>
        <v>190.26666666666665</v>
      </c>
      <c r="K65" s="165">
        <v>13.52</v>
      </c>
      <c r="L65" s="165">
        <f t="shared" si="18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4"/>
        <v>1.959999999999999</v>
      </c>
      <c r="Q65" s="165">
        <f t="shared" si="11"/>
        <v>263.3333333333331</v>
      </c>
      <c r="R65" s="37">
        <v>3.2</v>
      </c>
      <c r="S65" s="37">
        <f t="shared" si="15"/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1.02</v>
      </c>
      <c r="L66" s="165">
        <f t="shared" si="18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766059.65</v>
      </c>
      <c r="G67" s="151">
        <f>F67-E67</f>
        <v>3516.95000000007</v>
      </c>
      <c r="H67" s="152">
        <f>F67/E67*100</f>
        <v>100.46121351630539</v>
      </c>
      <c r="I67" s="153">
        <f>F67-D67</f>
        <v>-591431.4500000001</v>
      </c>
      <c r="J67" s="153">
        <f>F67/D67*100</f>
        <v>56.43202006996584</v>
      </c>
      <c r="K67" s="153">
        <v>580607.78</v>
      </c>
      <c r="L67" s="153">
        <f>F67-K67</f>
        <v>185451.87</v>
      </c>
      <c r="M67" s="219">
        <f>F67/K67</f>
        <v>1.3194098949208017</v>
      </c>
      <c r="N67" s="151">
        <f>N8+N41+N65+N66</f>
        <v>123743.40000000004</v>
      </c>
      <c r="O67" s="151">
        <f>O8+O41+O65+O66</f>
        <v>122510.93999999997</v>
      </c>
      <c r="P67" s="155">
        <f>O67-N67</f>
        <v>-1232.4600000000646</v>
      </c>
      <c r="Q67" s="153">
        <f>O67/N67*100</f>
        <v>99.00401960831844</v>
      </c>
      <c r="R67" s="27">
        <f>R8+R41+R65+R66</f>
        <v>108115.7</v>
      </c>
      <c r="S67" s="280">
        <f>O67-R67</f>
        <v>14395.239999999976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E75-червень!E75</f>
        <v>0</v>
      </c>
      <c r="O75" s="289">
        <f>F75-червень!F75</f>
        <v>0</v>
      </c>
      <c r="P75" s="187">
        <f aca="true" t="shared" si="22" ref="P75:P89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 t="shared" si="19"/>
        <v>-13496.23</v>
      </c>
      <c r="H76" s="164">
        <f>F76/E76*100</f>
        <v>0.027925925925925927</v>
      </c>
      <c r="I76" s="167">
        <f t="shared" si="20"/>
        <v>-104202.26</v>
      </c>
      <c r="J76" s="167">
        <f>F76/D76*100</f>
        <v>0.0036178328643745477</v>
      </c>
      <c r="K76" s="167">
        <v>1535.06</v>
      </c>
      <c r="L76" s="167">
        <f t="shared" si="21"/>
        <v>-1531.29</v>
      </c>
      <c r="M76" s="209">
        <f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2"/>
        <v>-4499.95</v>
      </c>
      <c r="Q76" s="167">
        <f>O76/N76*100</f>
        <v>0.001111111111111107</v>
      </c>
      <c r="R76" s="38">
        <v>0</v>
      </c>
      <c r="S76" s="38">
        <f aca="true" t="shared" si="23" ref="S76:S87">O76-R76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t="shared" si="19"/>
        <v>-13323.79</v>
      </c>
      <c r="H77" s="164">
        <f>F77/E77*100</f>
        <v>30.71352054082163</v>
      </c>
      <c r="I77" s="167">
        <f t="shared" si="20"/>
        <v>-48093.79</v>
      </c>
      <c r="J77" s="167">
        <f>F77/D77*100</f>
        <v>10.937425925925925</v>
      </c>
      <c r="K77" s="167">
        <v>6751.5</v>
      </c>
      <c r="L77" s="167">
        <f t="shared" si="21"/>
        <v>-845.29</v>
      </c>
      <c r="M77" s="209">
        <f>F77/K77</f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2"/>
        <v>689.0599999999995</v>
      </c>
      <c r="Q77" s="167">
        <f>O77/N77*100</f>
        <v>119.14055555555554</v>
      </c>
      <c r="R77" s="38">
        <v>200</v>
      </c>
      <c r="S77" s="38">
        <f t="shared" si="23"/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19"/>
        <v>-13078.7</v>
      </c>
      <c r="H78" s="164">
        <f>F78/E78*100</f>
        <v>34.76957605985038</v>
      </c>
      <c r="I78" s="167">
        <f t="shared" si="20"/>
        <v>-72028.7</v>
      </c>
      <c r="J78" s="167">
        <f>F78/D78*100</f>
        <v>8.824430379746834</v>
      </c>
      <c r="K78" s="167">
        <v>9509.69</v>
      </c>
      <c r="L78" s="167">
        <f t="shared" si="21"/>
        <v>-2538.3900000000003</v>
      </c>
      <c r="M78" s="209">
        <f>F78/K78</f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2"/>
        <v>-3446.92</v>
      </c>
      <c r="Q78" s="167">
        <f>O78/N78*100</f>
        <v>10.469610389610388</v>
      </c>
      <c r="R78" s="38">
        <v>1500</v>
      </c>
      <c r="S78" s="38">
        <f t="shared" si="23"/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19"/>
        <v>1</v>
      </c>
      <c r="H79" s="164">
        <f>F79/E79*100</f>
        <v>114.28571428571428</v>
      </c>
      <c r="I79" s="167">
        <f t="shared" si="20"/>
        <v>-4</v>
      </c>
      <c r="J79" s="167">
        <f>F79/D79*100</f>
        <v>66.66666666666666</v>
      </c>
      <c r="K79" s="167">
        <v>6</v>
      </c>
      <c r="L79" s="167">
        <f t="shared" si="21"/>
        <v>2</v>
      </c>
      <c r="M79" s="209"/>
      <c r="N79" s="164">
        <f>E79-червень!E79</f>
        <v>1</v>
      </c>
      <c r="O79" s="168">
        <f>F79-червень!F79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85">
        <f t="shared" si="19"/>
        <v>-39897.72</v>
      </c>
      <c r="H80" s="186">
        <f>F80/E80*100</f>
        <v>24.417527042643076</v>
      </c>
      <c r="I80" s="187">
        <f t="shared" si="20"/>
        <v>-224328.75</v>
      </c>
      <c r="J80" s="187">
        <f>F80/D80*100</f>
        <v>5.433516162325436</v>
      </c>
      <c r="K80" s="187">
        <v>17802.25</v>
      </c>
      <c r="L80" s="187">
        <f t="shared" si="21"/>
        <v>-4912.969999999999</v>
      </c>
      <c r="M80" s="214">
        <f>F80/K80</f>
        <v>0.7240253338763359</v>
      </c>
      <c r="N80" s="185">
        <f>N76+N77+N78+N79</f>
        <v>11951</v>
      </c>
      <c r="O80" s="189">
        <f>O76+O77+O78+O79</f>
        <v>4693.19</v>
      </c>
      <c r="P80" s="187">
        <f t="shared" si="22"/>
        <v>-7257.81</v>
      </c>
      <c r="Q80" s="187">
        <f>O80/N80*100</f>
        <v>39.27027027027027</v>
      </c>
      <c r="R80" s="39">
        <f>SUM(R76:R79)</f>
        <v>1701</v>
      </c>
      <c r="S80" s="39">
        <f t="shared" si="23"/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19"/>
        <v>34.14</v>
      </c>
      <c r="H81" s="164"/>
      <c r="I81" s="167">
        <f t="shared" si="20"/>
        <v>-1.8599999999999994</v>
      </c>
      <c r="J81" s="167"/>
      <c r="K81" s="167">
        <v>5.21</v>
      </c>
      <c r="L81" s="167">
        <f t="shared" si="21"/>
        <v>32.93</v>
      </c>
      <c r="M81" s="209">
        <f>F81/K81</f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2"/>
        <v>2.8299999999999983</v>
      </c>
      <c r="Q81" s="167"/>
      <c r="R81" s="38">
        <v>1</v>
      </c>
      <c r="S81" s="38">
        <f t="shared" si="23"/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E82-червень!E82</f>
        <v>0</v>
      </c>
      <c r="O82" s="168">
        <f>F82-червень!F82</f>
        <v>0</v>
      </c>
      <c r="P82" s="167">
        <f t="shared" si="22"/>
        <v>0</v>
      </c>
      <c r="Q82" s="190"/>
      <c r="R82" s="41"/>
      <c r="S82" s="38">
        <f t="shared" si="23"/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19"/>
        <v>602.8999999999996</v>
      </c>
      <c r="H83" s="164">
        <f>F83/E83*100</f>
        <v>113.36570009754365</v>
      </c>
      <c r="I83" s="167">
        <f t="shared" si="20"/>
        <v>-3246.3</v>
      </c>
      <c r="J83" s="167">
        <f>F83/D83*100</f>
        <v>61.16866028708133</v>
      </c>
      <c r="K83" s="167">
        <v>4902.34</v>
      </c>
      <c r="L83" s="167">
        <f t="shared" si="21"/>
        <v>211.35999999999967</v>
      </c>
      <c r="M83" s="209"/>
      <c r="N83" s="164">
        <f>E83-червень!E83</f>
        <v>3.800000000000182</v>
      </c>
      <c r="O83" s="168">
        <f>F83-червень!F83</f>
        <v>9.6899999999996</v>
      </c>
      <c r="P83" s="167">
        <f>O83-N83</f>
        <v>5.889999999999418</v>
      </c>
      <c r="Q83" s="190">
        <f>O83/N83*100</f>
        <v>254.99999999997723</v>
      </c>
      <c r="R83" s="41">
        <v>2850</v>
      </c>
      <c r="S83" s="288">
        <f t="shared" si="23"/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0.92</v>
      </c>
      <c r="L84" s="167">
        <f t="shared" si="21"/>
        <v>-0.87</v>
      </c>
      <c r="M84" s="209">
        <f aca="true" t="shared" si="24" ref="M84:M89">F84/K84</f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2"/>
        <v>0</v>
      </c>
      <c r="Q84" s="167"/>
      <c r="R84" s="38">
        <v>0</v>
      </c>
      <c r="S84" s="38">
        <f t="shared" si="23"/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83">
        <f>G81+G84+G82+G83</f>
        <v>637.0899999999997</v>
      </c>
      <c r="H85" s="186">
        <f>F85/E85*100</f>
        <v>114.11114556569504</v>
      </c>
      <c r="I85" s="187">
        <f t="shared" si="20"/>
        <v>-3248.1100000000006</v>
      </c>
      <c r="J85" s="187">
        <f>F85/D85*100</f>
        <v>61.332023809523804</v>
      </c>
      <c r="K85" s="187">
        <v>4908.48</v>
      </c>
      <c r="L85" s="187">
        <f t="shared" si="21"/>
        <v>243.40999999999985</v>
      </c>
      <c r="M85" s="220">
        <f t="shared" si="24"/>
        <v>1.0495896896799009</v>
      </c>
      <c r="N85" s="185">
        <f>N81+N84+N82+N83</f>
        <v>3.800000000000182</v>
      </c>
      <c r="O85" s="189">
        <f>O81+O84+O82+O83</f>
        <v>12.519999999999598</v>
      </c>
      <c r="P85" s="185">
        <f>P81+P84+P82+P83</f>
        <v>8.719999999999416</v>
      </c>
      <c r="Q85" s="187">
        <f>O85/N85*100</f>
        <v>329.4736842105</v>
      </c>
      <c r="R85" s="39">
        <f>SUM(R81:R84)</f>
        <v>2851</v>
      </c>
      <c r="S85" s="39">
        <f t="shared" si="23"/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19"/>
        <v>-12.370000000000001</v>
      </c>
      <c r="H86" s="164">
        <f>F86/E86*100</f>
        <v>50.12096774193549</v>
      </c>
      <c r="I86" s="167">
        <f t="shared" si="20"/>
        <v>-25.57</v>
      </c>
      <c r="J86" s="167">
        <f>F86/D86*100</f>
        <v>32.71052631578947</v>
      </c>
      <c r="K86" s="167">
        <v>18.76</v>
      </c>
      <c r="L86" s="167">
        <f t="shared" si="21"/>
        <v>-6.330000000000002</v>
      </c>
      <c r="M86" s="209">
        <f t="shared" si="24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2"/>
        <v>3.1899999999999995</v>
      </c>
      <c r="Q86" s="167">
        <f>O86/N86</f>
        <v>3.1266666666666665</v>
      </c>
      <c r="R86" s="38">
        <v>1.2</v>
      </c>
      <c r="S86" s="38">
        <f t="shared" si="23"/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 t="shared" si="24"/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 t="shared" si="22"/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784146.1900000001</v>
      </c>
      <c r="G89" s="192">
        <f>F89-E89</f>
        <v>-35723.10999999987</v>
      </c>
      <c r="H89" s="193">
        <f>F89/E89*100</f>
        <v>95.64282868013233</v>
      </c>
      <c r="I89" s="194">
        <f>F89-D89</f>
        <v>-819000.9400000001</v>
      </c>
      <c r="J89" s="194">
        <f>F89/D89*100</f>
        <v>48.912927286967104</v>
      </c>
      <c r="K89" s="194">
        <f>K67+K88</f>
        <v>603334.98</v>
      </c>
      <c r="L89" s="194">
        <f>F89-K89</f>
        <v>180811.21000000008</v>
      </c>
      <c r="M89" s="221">
        <f t="shared" si="24"/>
        <v>1.299686270469516</v>
      </c>
      <c r="N89" s="192">
        <f>N67+N88</f>
        <v>135699.70000000004</v>
      </c>
      <c r="O89" s="192">
        <f>O67+O88</f>
        <v>127221.33999999997</v>
      </c>
      <c r="P89" s="194">
        <f t="shared" si="22"/>
        <v>-8478.360000000073</v>
      </c>
      <c r="Q89" s="194">
        <f>O89/N89*100</f>
        <v>93.75211588529667</v>
      </c>
      <c r="R89" s="27">
        <f>R67+R88</f>
        <v>112668.9</v>
      </c>
      <c r="S89" s="27">
        <f>S67+S88</f>
        <v>14552.439999999975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03"/>
      <c r="P93" s="303"/>
    </row>
    <row r="94" spans="3:16" ht="15">
      <c r="C94" s="81">
        <v>42944</v>
      </c>
      <c r="D94" s="29">
        <v>13586.1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42943</v>
      </c>
      <c r="D95" s="29">
        <v>6106.3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f>'[1]залишки  (2)'!$G$6/1000</f>
        <v>12794.02423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1046.72</v>
      </c>
      <c r="G100" s="68">
        <f>G48+G51+G52</f>
        <v>339.72</v>
      </c>
      <c r="H100" s="69"/>
      <c r="I100" s="69"/>
      <c r="N100" s="29">
        <f>N48+N51+N52</f>
        <v>86</v>
      </c>
      <c r="O100" s="202">
        <f>O48+O51+O52</f>
        <v>136.27000000000004</v>
      </c>
      <c r="P100" s="29">
        <f>P48+P51+P52</f>
        <v>50.27000000000005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727818.9700000001</v>
      </c>
      <c r="G102" s="29">
        <f>F102-E102</f>
        <v>207.47000000008848</v>
      </c>
      <c r="H102" s="230">
        <f>F102/E102</f>
        <v>1.0002851384289557</v>
      </c>
      <c r="I102" s="29">
        <f>F102-D102</f>
        <v>-571229.63</v>
      </c>
      <c r="J102" s="230">
        <f>F102/D102</f>
        <v>0.5602707781679608</v>
      </c>
      <c r="N102" s="29">
        <f>N9+N15+N17+N18+N19+N23+N42+N45+N65+N59</f>
        <v>118465.80000000003</v>
      </c>
      <c r="O102" s="229">
        <f>O9+O15+O17+O18+O19+O23+O42+O45+O65+O59</f>
        <v>116115.11999999997</v>
      </c>
      <c r="P102" s="29">
        <f>O102-N102</f>
        <v>-2350.680000000066</v>
      </c>
      <c r="Q102" s="230">
        <f>O102/N102</f>
        <v>0.9801573112239983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38216.80999999999</v>
      </c>
      <c r="G103" s="29">
        <f>G43+G44+G46+G48+G50+G51+G52+G53+G54+G60+G64+G47</f>
        <v>3290.8599999999988</v>
      </c>
      <c r="H103" s="230">
        <f>F103/E103</f>
        <v>1.0940594654635396</v>
      </c>
      <c r="I103" s="29">
        <f>I43+I44+I46+I48+I50+I51+I52+I53+I54+I60+I64+I47</f>
        <v>-20220.440000000002</v>
      </c>
      <c r="J103" s="230">
        <f>F103/D103</f>
        <v>0.6539215468195233</v>
      </c>
      <c r="K103" s="29">
        <f aca="true" t="shared" si="25" ref="K103:P103">K43+K44+K46+K48+K50+K51+K52+K53+K54+K60+K64+K47</f>
        <v>36542.33</v>
      </c>
      <c r="L103" s="29">
        <f t="shared" si="25"/>
        <v>1679.7299999999998</v>
      </c>
      <c r="M103" s="29">
        <f t="shared" si="25"/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6373.130000000001</v>
      </c>
      <c r="P103" s="29">
        <f t="shared" si="25"/>
        <v>1095.5300000000002</v>
      </c>
      <c r="Q103" s="230">
        <f>O103/N103</f>
        <v>1.2075810974685464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762542.7</v>
      </c>
      <c r="F104" s="229">
        <f t="shared" si="26"/>
        <v>766035.78</v>
      </c>
      <c r="G104" s="29">
        <f t="shared" si="26"/>
        <v>3498.3300000000872</v>
      </c>
      <c r="H104" s="230">
        <f>F104/E104</f>
        <v>1.0045808319979983</v>
      </c>
      <c r="I104" s="29">
        <f t="shared" si="26"/>
        <v>-591450.0700000001</v>
      </c>
      <c r="J104" s="230">
        <f>F104/D104</f>
        <v>0.5643026167906368</v>
      </c>
      <c r="K104" s="29">
        <f t="shared" si="26"/>
        <v>36542.33</v>
      </c>
      <c r="L104" s="29">
        <f t="shared" si="26"/>
        <v>1679.7299999999998</v>
      </c>
      <c r="M104" s="29">
        <f t="shared" si="26"/>
        <v>11.903468751773548</v>
      </c>
      <c r="N104" s="29">
        <f t="shared" si="26"/>
        <v>123743.40000000004</v>
      </c>
      <c r="O104" s="229">
        <f t="shared" si="26"/>
        <v>122488.24999999997</v>
      </c>
      <c r="P104" s="29">
        <f t="shared" si="26"/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 aca="true" t="shared" si="27" ref="E105:R105">E67-E104</f>
        <v>0</v>
      </c>
      <c r="F105" s="29">
        <f t="shared" si="27"/>
        <v>23.869999999995343</v>
      </c>
      <c r="G105" s="29">
        <f t="shared" si="27"/>
        <v>18.61999999998261</v>
      </c>
      <c r="H105" s="230"/>
      <c r="I105" s="29">
        <f t="shared" si="27"/>
        <v>18.619999999995343</v>
      </c>
      <c r="J105" s="230"/>
      <c r="K105" s="29">
        <f t="shared" si="27"/>
        <v>544065.4500000001</v>
      </c>
      <c r="L105" s="29">
        <f t="shared" si="27"/>
        <v>183772.13999999998</v>
      </c>
      <c r="M105" s="29">
        <f t="shared" si="27"/>
        <v>-10.584058856852746</v>
      </c>
      <c r="N105" s="29">
        <f t="shared" si="27"/>
        <v>0</v>
      </c>
      <c r="O105" s="29">
        <f t="shared" si="27"/>
        <v>22.69000000000233</v>
      </c>
      <c r="P105" s="29">
        <f t="shared" si="27"/>
        <v>22.690000000000964</v>
      </c>
      <c r="Q105" s="29"/>
      <c r="R105" s="29">
        <f t="shared" si="27"/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804400.51</v>
      </c>
      <c r="G112" s="192">
        <f>F112-E112</f>
        <v>-33570.84999999998</v>
      </c>
      <c r="H112" s="193">
        <f>F112/E112*100</f>
        <v>95.99379506239927</v>
      </c>
      <c r="I112" s="194">
        <f>F112-D112</f>
        <v>-871154.8400000001</v>
      </c>
      <c r="J112" s="194">
        <f>F112/D112*100</f>
        <v>48.00799388692232</v>
      </c>
      <c r="K112" s="194">
        <f>K89+K111</f>
        <v>606374.85</v>
      </c>
      <c r="L112" s="194">
        <f>F112-K112</f>
        <v>198025.66000000003</v>
      </c>
      <c r="M112" s="269">
        <f>F112/K112</f>
        <v>1.3265730100778421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1350229.5899999999</v>
      </c>
      <c r="G124" s="278">
        <f t="shared" si="29"/>
        <v>-38397.37000000011</v>
      </c>
      <c r="H124" s="277">
        <f t="shared" si="31"/>
        <v>97.23486788705297</v>
      </c>
      <c r="I124" s="279">
        <f t="shared" si="30"/>
        <v>-1548194.4500000002</v>
      </c>
      <c r="J124" s="279">
        <f t="shared" si="32"/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74" zoomScaleNormal="74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9" width="11.00390625" style="4" hidden="1" customWidth="1"/>
    <col min="20" max="16384" width="9.125" style="4" customWidth="1"/>
  </cols>
  <sheetData>
    <row r="1" spans="1:19" s="1" customFormat="1" ht="26.25" customHeight="1">
      <c r="A1" s="320" t="s">
        <v>216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6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212</v>
      </c>
      <c r="O3" s="331" t="s">
        <v>213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209</v>
      </c>
      <c r="F4" s="314" t="s">
        <v>33</v>
      </c>
      <c r="G4" s="305" t="s">
        <v>210</v>
      </c>
      <c r="H4" s="316" t="s">
        <v>211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217</v>
      </c>
      <c r="P4" s="305" t="s">
        <v>49</v>
      </c>
      <c r="Q4" s="307" t="s">
        <v>48</v>
      </c>
      <c r="R4" s="91" t="s">
        <v>64</v>
      </c>
      <c r="S4" s="91"/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214</v>
      </c>
      <c r="L5" s="309"/>
      <c r="M5" s="310"/>
      <c r="N5" s="317"/>
      <c r="O5" s="319"/>
      <c r="P5" s="306"/>
      <c r="Q5" s="307"/>
      <c r="R5" s="311" t="s">
        <v>215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 aca="true" t="shared" si="0" ref="G8:G40">F8-E8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 aca="true" t="shared" si="1" ref="L8:L54">F8-K8</f>
        <v>143958.7</v>
      </c>
      <c r="M8" s="205">
        <f aca="true" t="shared" si="2" ref="M8:M31">F8/K8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 t="shared" si="0"/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 t="shared" si="1"/>
        <v>90099.84</v>
      </c>
      <c r="M9" s="206">
        <f t="shared" si="2"/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 t="shared" si="0"/>
        <v>4480.760000000009</v>
      </c>
      <c r="H10" s="30">
        <f aca="true" t="shared" si="3" ref="H10:H39">F10/E10*100</f>
        <v>101.40876050103125</v>
      </c>
      <c r="I10" s="104">
        <f aca="true" t="shared" si="4" ref="I10:I40">F10-D10</f>
        <v>-378772.24</v>
      </c>
      <c r="J10" s="104">
        <f aca="true" t="shared" si="5" ref="J10:J39">F10/D10*100</f>
        <v>45.991293523470844</v>
      </c>
      <c r="K10" s="106">
        <v>231268.41</v>
      </c>
      <c r="L10" s="106">
        <f t="shared" si="1"/>
        <v>91276.35</v>
      </c>
      <c r="M10" s="207">
        <f t="shared" si="2"/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 aca="true" t="shared" si="6" ref="P10:P40">O10-N10</f>
        <v>61.5800000000163</v>
      </c>
      <c r="Q10" s="104">
        <f aca="true" t="shared" si="7" ref="Q10:Q27">O10/N10*100</f>
        <v>100.09487858991744</v>
      </c>
      <c r="R10" s="37"/>
      <c r="S10" s="100">
        <f aca="true" t="shared" si="8" ref="S10:S35">O10-R10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 t="shared" si="0"/>
        <v>-3114.1100000000006</v>
      </c>
      <c r="H11" s="30">
        <f t="shared" si="3"/>
        <v>85.97247747747747</v>
      </c>
      <c r="I11" s="104">
        <f t="shared" si="4"/>
        <v>-27420.11</v>
      </c>
      <c r="J11" s="104">
        <f t="shared" si="5"/>
        <v>41.039629295144714</v>
      </c>
      <c r="K11" s="106">
        <v>18032.25</v>
      </c>
      <c r="L11" s="106">
        <f t="shared" si="1"/>
        <v>1053.6399999999994</v>
      </c>
      <c r="M11" s="207">
        <f t="shared" si="2"/>
        <v>1.0584308669189924</v>
      </c>
      <c r="N11" s="105">
        <f>E11-травень!E11</f>
        <v>3840</v>
      </c>
      <c r="O11" s="144">
        <f>F11-травень!F11</f>
        <v>3265.99</v>
      </c>
      <c r="P11" s="106">
        <f t="shared" si="6"/>
        <v>-574.0100000000002</v>
      </c>
      <c r="Q11" s="104">
        <f t="shared" si="7"/>
        <v>85.05182291666667</v>
      </c>
      <c r="R11" s="37"/>
      <c r="S11" s="100">
        <f t="shared" si="8"/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 t="shared" si="0"/>
        <v>673.0299999999997</v>
      </c>
      <c r="H12" s="30">
        <f t="shared" si="3"/>
        <v>117.52682291666665</v>
      </c>
      <c r="I12" s="104">
        <f t="shared" si="4"/>
        <v>-3766.9700000000003</v>
      </c>
      <c r="J12" s="104">
        <f t="shared" si="5"/>
        <v>54.50519323671498</v>
      </c>
      <c r="K12" s="106">
        <v>5288.66</v>
      </c>
      <c r="L12" s="106">
        <f t="shared" si="1"/>
        <v>-775.6300000000001</v>
      </c>
      <c r="M12" s="207">
        <f t="shared" si="2"/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 t="shared" si="6"/>
        <v>-129.23000000000047</v>
      </c>
      <c r="Q12" s="104">
        <f t="shared" si="7"/>
        <v>85.64111111111106</v>
      </c>
      <c r="R12" s="37"/>
      <c r="S12" s="100">
        <f t="shared" si="8"/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 t="shared" si="0"/>
        <v>131.17000000000007</v>
      </c>
      <c r="H13" s="30">
        <f t="shared" si="3"/>
        <v>102.8765350877193</v>
      </c>
      <c r="I13" s="104">
        <f t="shared" si="4"/>
        <v>-4698.83</v>
      </c>
      <c r="J13" s="104">
        <f t="shared" si="5"/>
        <v>49.95921192758254</v>
      </c>
      <c r="K13" s="106">
        <v>4452.61</v>
      </c>
      <c r="L13" s="106">
        <f t="shared" si="1"/>
        <v>238.5600000000004</v>
      </c>
      <c r="M13" s="207">
        <f t="shared" si="2"/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 t="shared" si="6"/>
        <v>148.57999999999993</v>
      </c>
      <c r="Q13" s="104">
        <f t="shared" si="7"/>
        <v>122.5121212121212</v>
      </c>
      <c r="R13" s="37"/>
      <c r="S13" s="100">
        <f t="shared" si="8"/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 t="shared" si="0"/>
        <v>131.52999999999997</v>
      </c>
      <c r="H14" s="30">
        <f t="shared" si="3"/>
        <v>122.83506944444444</v>
      </c>
      <c r="I14" s="104">
        <f t="shared" si="4"/>
        <v>-444.47</v>
      </c>
      <c r="J14" s="104">
        <f t="shared" si="5"/>
        <v>61.41753472222222</v>
      </c>
      <c r="K14" s="106">
        <v>2400.61</v>
      </c>
      <c r="L14" s="106">
        <f t="shared" si="1"/>
        <v>-1693.0800000000002</v>
      </c>
      <c r="M14" s="207">
        <f t="shared" si="2"/>
        <v>0.29472925631402014</v>
      </c>
      <c r="N14" s="105">
        <f>E14-травень!E14</f>
        <v>96</v>
      </c>
      <c r="O14" s="144">
        <f>F14-травень!F14</f>
        <v>99.88</v>
      </c>
      <c r="P14" s="106">
        <f t="shared" si="6"/>
        <v>3.8799999999999955</v>
      </c>
      <c r="Q14" s="104">
        <f t="shared" si="7"/>
        <v>104.04166666666666</v>
      </c>
      <c r="R14" s="37"/>
      <c r="S14" s="100">
        <f t="shared" si="8"/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E15-травень!E15</f>
        <v>0</v>
      </c>
      <c r="O15" s="168">
        <f>F15-травень!F15</f>
        <v>0</v>
      </c>
      <c r="P15" s="161">
        <f t="shared" si="6"/>
        <v>0</v>
      </c>
      <c r="Q15" s="158"/>
      <c r="R15" s="37">
        <v>0</v>
      </c>
      <c r="S15" s="100">
        <f t="shared" si="8"/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E16-травень!E16</f>
        <v>0</v>
      </c>
      <c r="O16" s="168">
        <f>F16-травень!F16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0.17</v>
      </c>
      <c r="L17" s="161">
        <f t="shared" si="1"/>
        <v>0.31999999999999995</v>
      </c>
      <c r="M17" s="208">
        <f t="shared" si="2"/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 t="shared" si="8"/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E18-травень!E18</f>
        <v>0</v>
      </c>
      <c r="O18" s="168">
        <f>F18-травень!F18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 t="shared" si="0"/>
        <v>-5639.889999999999</v>
      </c>
      <c r="H19" s="164">
        <f t="shared" si="3"/>
        <v>90.53709731543624</v>
      </c>
      <c r="I19" s="165">
        <f t="shared" si="4"/>
        <v>-76039.89</v>
      </c>
      <c r="J19" s="165">
        <f t="shared" si="5"/>
        <v>41.507776923076925</v>
      </c>
      <c r="K19" s="161">
        <v>44512.02</v>
      </c>
      <c r="L19" s="167">
        <f t="shared" si="1"/>
        <v>9448.090000000004</v>
      </c>
      <c r="M19" s="213">
        <f t="shared" si="2"/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 t="shared" si="6"/>
        <v>-2234.979999999996</v>
      </c>
      <c r="Q19" s="165">
        <f t="shared" si="7"/>
        <v>80.04482142857147</v>
      </c>
      <c r="R19" s="294">
        <v>8800</v>
      </c>
      <c r="S19" s="100">
        <f t="shared" si="8"/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 t="shared" si="0"/>
        <v>-4664.740000000002</v>
      </c>
      <c r="H20" s="195">
        <f t="shared" si="3"/>
        <v>87.00629526462396</v>
      </c>
      <c r="I20" s="254">
        <f t="shared" si="4"/>
        <v>-45264.740000000005</v>
      </c>
      <c r="J20" s="254">
        <f t="shared" si="5"/>
        <v>40.83040522875817</v>
      </c>
      <c r="K20" s="255">
        <v>44512.02</v>
      </c>
      <c r="L20" s="166">
        <f t="shared" si="1"/>
        <v>-13276.759999999998</v>
      </c>
      <c r="M20" s="256">
        <f t="shared" si="2"/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 t="shared" si="6"/>
        <v>-1143.2300000000032</v>
      </c>
      <c r="Q20" s="254">
        <f t="shared" si="7"/>
        <v>81.70831999999994</v>
      </c>
      <c r="R20" s="104">
        <v>4450</v>
      </c>
      <c r="S20" s="104">
        <f t="shared" si="8"/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 t="shared" si="0"/>
        <v>-151.67000000000007</v>
      </c>
      <c r="H21" s="195"/>
      <c r="I21" s="254">
        <f t="shared" si="4"/>
        <v>-5951.67</v>
      </c>
      <c r="J21" s="254">
        <f t="shared" si="5"/>
        <v>44.376915887850465</v>
      </c>
      <c r="K21" s="255">
        <v>0</v>
      </c>
      <c r="L21" s="166">
        <f t="shared" si="1"/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 t="shared" si="6"/>
        <v>-295.3600000000001</v>
      </c>
      <c r="Q21" s="254"/>
      <c r="R21" s="104">
        <v>900</v>
      </c>
      <c r="S21" s="104">
        <f t="shared" si="8"/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 t="shared" si="0"/>
        <v>-823.4799999999996</v>
      </c>
      <c r="H22" s="195"/>
      <c r="I22" s="254">
        <f t="shared" si="4"/>
        <v>-24823.48</v>
      </c>
      <c r="J22" s="254">
        <f t="shared" si="5"/>
        <v>42.001214953271024</v>
      </c>
      <c r="K22" s="255">
        <v>0</v>
      </c>
      <c r="L22" s="166">
        <f t="shared" si="1"/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 t="shared" si="6"/>
        <v>-796.3999999999996</v>
      </c>
      <c r="Q22" s="254"/>
      <c r="R22" s="104">
        <v>3800</v>
      </c>
      <c r="S22" s="104">
        <f t="shared" si="8"/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 t="shared" si="0"/>
        <v>4179.520000000019</v>
      </c>
      <c r="H23" s="157">
        <f t="shared" si="3"/>
        <v>102.09368985585945</v>
      </c>
      <c r="I23" s="158">
        <f t="shared" si="4"/>
        <v>-197325.97999999998</v>
      </c>
      <c r="J23" s="158">
        <f t="shared" si="5"/>
        <v>50.80748614975541</v>
      </c>
      <c r="K23" s="158">
        <v>159141.65</v>
      </c>
      <c r="L23" s="161">
        <f t="shared" si="1"/>
        <v>44662.47</v>
      </c>
      <c r="M23" s="209">
        <f t="shared" si="2"/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 t="shared" si="6"/>
        <v>2926.3399999999965</v>
      </c>
      <c r="Q23" s="158">
        <f t="shared" si="7"/>
        <v>112.96446925394292</v>
      </c>
      <c r="R23" s="288">
        <f>R24+R33+R35</f>
        <v>22714</v>
      </c>
      <c r="S23" s="294">
        <f t="shared" si="8"/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 t="shared" si="0"/>
        <v>720.7700000000041</v>
      </c>
      <c r="H24" s="157">
        <f t="shared" si="3"/>
        <v>100.73046398757917</v>
      </c>
      <c r="I24" s="158">
        <f t="shared" si="4"/>
        <v>-107227.33</v>
      </c>
      <c r="J24" s="158">
        <f t="shared" si="5"/>
        <v>48.10434079788599</v>
      </c>
      <c r="K24" s="158">
        <v>85994.38</v>
      </c>
      <c r="L24" s="161">
        <f t="shared" si="1"/>
        <v>13399.289999999994</v>
      </c>
      <c r="M24" s="209">
        <f t="shared" si="2"/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 t="shared" si="6"/>
        <v>1696.5399999999936</v>
      </c>
      <c r="Q24" s="158">
        <f t="shared" si="7"/>
        <v>110.62662073285307</v>
      </c>
      <c r="R24" s="293">
        <f>R25+R28+R29</f>
        <v>15007</v>
      </c>
      <c r="S24" s="293">
        <f t="shared" si="8"/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 t="shared" si="0"/>
        <v>696.4300000000003</v>
      </c>
      <c r="H25" s="173">
        <f t="shared" si="3"/>
        <v>106.70346805786835</v>
      </c>
      <c r="I25" s="174">
        <f t="shared" si="4"/>
        <v>-11723.47</v>
      </c>
      <c r="J25" s="174">
        <f t="shared" si="5"/>
        <v>48.60156078740848</v>
      </c>
      <c r="K25" s="175">
        <v>9233.59</v>
      </c>
      <c r="L25" s="166">
        <f t="shared" si="1"/>
        <v>1851.9400000000005</v>
      </c>
      <c r="M25" s="215">
        <f t="shared" si="2"/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 t="shared" si="6"/>
        <v>144.48999999999978</v>
      </c>
      <c r="Q25" s="174">
        <f t="shared" si="7"/>
        <v>117.94906832298133</v>
      </c>
      <c r="R25" s="104">
        <v>800</v>
      </c>
      <c r="S25" s="104">
        <f t="shared" si="8"/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 t="shared" si="0"/>
        <v>-496.74</v>
      </c>
      <c r="H26" s="199">
        <f t="shared" si="3"/>
        <v>30.036619718309858</v>
      </c>
      <c r="I26" s="200">
        <f t="shared" si="4"/>
        <v>-1609.04</v>
      </c>
      <c r="J26" s="200">
        <f t="shared" si="5"/>
        <v>11.702793173462108</v>
      </c>
      <c r="K26" s="200">
        <v>342.1</v>
      </c>
      <c r="L26" s="200">
        <f t="shared" si="1"/>
        <v>-128.84000000000003</v>
      </c>
      <c r="M26" s="228">
        <f t="shared" si="2"/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 t="shared" si="6"/>
        <v>-89.01000000000002</v>
      </c>
      <c r="Q26" s="200">
        <f t="shared" si="7"/>
        <v>15.22857142857141</v>
      </c>
      <c r="R26" s="104"/>
      <c r="S26" s="104">
        <f t="shared" si="8"/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 t="shared" si="0"/>
        <v>1193.1599999999999</v>
      </c>
      <c r="H27" s="199">
        <f t="shared" si="3"/>
        <v>112.32717917988242</v>
      </c>
      <c r="I27" s="200">
        <f t="shared" si="4"/>
        <v>-10114.44</v>
      </c>
      <c r="J27" s="200">
        <f t="shared" si="5"/>
        <v>51.80547680197458</v>
      </c>
      <c r="K27" s="200">
        <v>8891.49</v>
      </c>
      <c r="L27" s="200">
        <f t="shared" si="1"/>
        <v>1980.7700000000004</v>
      </c>
      <c r="M27" s="228">
        <f t="shared" si="2"/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 t="shared" si="6"/>
        <v>233.48999999999978</v>
      </c>
      <c r="Q27" s="200">
        <f t="shared" si="7"/>
        <v>133.35571428571424</v>
      </c>
      <c r="R27" s="104"/>
      <c r="S27" s="104">
        <f t="shared" si="8"/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 t="shared" si="0"/>
        <v>-223.03000000000003</v>
      </c>
      <c r="H28" s="173">
        <f t="shared" si="3"/>
        <v>-66.68908819133034</v>
      </c>
      <c r="I28" s="174">
        <f t="shared" si="4"/>
        <v>-909.23</v>
      </c>
      <c r="J28" s="174">
        <f t="shared" si="5"/>
        <v>-10.88170731707317</v>
      </c>
      <c r="K28" s="174">
        <v>435.05</v>
      </c>
      <c r="L28" s="174">
        <f t="shared" si="1"/>
        <v>-524.28</v>
      </c>
      <c r="M28" s="212">
        <f t="shared" si="2"/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 t="shared" si="6"/>
        <v>-48.75000000000001</v>
      </c>
      <c r="Q28" s="174">
        <f>O28/N28*100</f>
        <v>-875.0000000000002</v>
      </c>
      <c r="R28" s="104">
        <v>-25</v>
      </c>
      <c r="S28" s="104">
        <f t="shared" si="8"/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 t="shared" si="0"/>
        <v>247.36999999999534</v>
      </c>
      <c r="H29" s="173">
        <f t="shared" si="3"/>
        <v>100.28062393647193</v>
      </c>
      <c r="I29" s="174">
        <f t="shared" si="4"/>
        <v>-94594.63</v>
      </c>
      <c r="J29" s="174">
        <f t="shared" si="5"/>
        <v>48.3066855381656</v>
      </c>
      <c r="K29" s="175">
        <v>76325.75</v>
      </c>
      <c r="L29" s="175">
        <f t="shared" si="1"/>
        <v>12071.619999999995</v>
      </c>
      <c r="M29" s="211">
        <f t="shared" si="2"/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 t="shared" si="6"/>
        <v>1600.7999999999884</v>
      </c>
      <c r="Q29" s="174">
        <f>O29/N29*100</f>
        <v>110.56285054437471</v>
      </c>
      <c r="R29" s="104">
        <v>14232</v>
      </c>
      <c r="S29" s="104">
        <f t="shared" si="8"/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 t="shared" si="0"/>
        <v>3877.9500000000007</v>
      </c>
      <c r="H30" s="199">
        <f t="shared" si="3"/>
        <v>114.48076923076924</v>
      </c>
      <c r="I30" s="200">
        <f t="shared" si="4"/>
        <v>-26875.05</v>
      </c>
      <c r="J30" s="200">
        <f t="shared" si="5"/>
        <v>53.28759146924374</v>
      </c>
      <c r="K30" s="200">
        <v>23736.85</v>
      </c>
      <c r="L30" s="200">
        <f t="shared" si="1"/>
        <v>6921.100000000002</v>
      </c>
      <c r="M30" s="228">
        <f t="shared" si="2"/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 t="shared" si="6"/>
        <v>1806.7099999999991</v>
      </c>
      <c r="Q30" s="200">
        <f>O30/N30*100</f>
        <v>138.4406382978723</v>
      </c>
      <c r="R30" s="107"/>
      <c r="S30" s="100">
        <f t="shared" si="8"/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 t="shared" si="0"/>
        <v>-3630.5800000000017</v>
      </c>
      <c r="H31" s="199">
        <f t="shared" si="3"/>
        <v>94.08411275867688</v>
      </c>
      <c r="I31" s="200">
        <f t="shared" si="4"/>
        <v>-67719.58</v>
      </c>
      <c r="J31" s="200">
        <f t="shared" si="5"/>
        <v>46.022541228608546</v>
      </c>
      <c r="K31" s="200">
        <v>52588.89</v>
      </c>
      <c r="L31" s="200">
        <f t="shared" si="1"/>
        <v>5150.529999999999</v>
      </c>
      <c r="M31" s="228">
        <f t="shared" si="2"/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 t="shared" si="6"/>
        <v>-205.9100000000035</v>
      </c>
      <c r="Q31" s="200">
        <f>O31/N31*100</f>
        <v>98.03051171688185</v>
      </c>
      <c r="R31" s="107"/>
      <c r="S31" s="100">
        <f t="shared" si="8"/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E32-травень!E32</f>
        <v>0</v>
      </c>
      <c r="O32" s="160">
        <f>F32-травень!F32</f>
        <v>0</v>
      </c>
      <c r="P32" s="161">
        <f t="shared" si="6"/>
        <v>0</v>
      </c>
      <c r="Q32" s="158"/>
      <c r="R32" s="293"/>
      <c r="S32" s="293">
        <f t="shared" si="8"/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 t="shared" si="0"/>
        <v>33.230000000000004</v>
      </c>
      <c r="H33" s="157">
        <f t="shared" si="3"/>
        <v>172.23913043478262</v>
      </c>
      <c r="I33" s="158">
        <f t="shared" si="4"/>
        <v>-35.769999999999996</v>
      </c>
      <c r="J33" s="158">
        <f t="shared" si="5"/>
        <v>68.89565217391305</v>
      </c>
      <c r="K33" s="158">
        <v>55.62</v>
      </c>
      <c r="L33" s="158">
        <f t="shared" si="1"/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 t="shared" si="6"/>
        <v>-3</v>
      </c>
      <c r="Q33" s="158">
        <f>O33/N33*100</f>
        <v>57.14285714285714</v>
      </c>
      <c r="R33" s="293">
        <v>7</v>
      </c>
      <c r="S33" s="293">
        <f t="shared" si="8"/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 t="shared" si="0"/>
        <v>-31.32</v>
      </c>
      <c r="H34" s="157"/>
      <c r="I34" s="158">
        <f t="shared" si="4"/>
        <v>-31.32</v>
      </c>
      <c r="J34" s="158"/>
      <c r="K34" s="158">
        <v>-125.04</v>
      </c>
      <c r="L34" s="158">
        <f t="shared" si="1"/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 t="shared" si="6"/>
        <v>-4.550000000000001</v>
      </c>
      <c r="Q34" s="158"/>
      <c r="R34" s="293"/>
      <c r="S34" s="293">
        <f t="shared" si="8"/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 t="shared" si="0"/>
        <v>3456.6399999999994</v>
      </c>
      <c r="H35" s="164">
        <f t="shared" si="3"/>
        <v>103.42561421208119</v>
      </c>
      <c r="I35" s="165">
        <f t="shared" si="4"/>
        <v>-90031.76000000001</v>
      </c>
      <c r="J35" s="165">
        <f t="shared" si="5"/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 t="shared" si="6"/>
        <v>1237.3499999999913</v>
      </c>
      <c r="Q35" s="165">
        <f>O35/N35*100</f>
        <v>118.74772727272713</v>
      </c>
      <c r="R35" s="293">
        <v>7700</v>
      </c>
      <c r="S35" s="293">
        <f t="shared" si="8"/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0.18</v>
      </c>
      <c r="L36" s="127">
        <f t="shared" si="1"/>
        <v>-0.16999999999999998</v>
      </c>
      <c r="M36" s="216">
        <f aca="true" t="shared" si="9" ref="M36:M43">F36/K36</f>
        <v>0.05555555555555556</v>
      </c>
      <c r="N36" s="105">
        <f>E36-травень!E36</f>
        <v>0</v>
      </c>
      <c r="O36" s="144">
        <f>F36-травень!F36</f>
        <v>0</v>
      </c>
      <c r="P36" s="106">
        <f t="shared" si="6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 t="shared" si="0"/>
        <v>268.0600000000013</v>
      </c>
      <c r="H37" s="105">
        <f t="shared" si="3"/>
        <v>101.33896103896105</v>
      </c>
      <c r="I37" s="104">
        <f t="shared" si="4"/>
        <v>-20711.94</v>
      </c>
      <c r="J37" s="104">
        <f t="shared" si="5"/>
        <v>49.483073170731714</v>
      </c>
      <c r="K37" s="127">
        <v>18313.06</v>
      </c>
      <c r="L37" s="127">
        <f t="shared" si="1"/>
        <v>1975</v>
      </c>
      <c r="M37" s="216">
        <f t="shared" si="9"/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 t="shared" si="6"/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 t="shared" si="0"/>
        <v>3190.770000000004</v>
      </c>
      <c r="H38" s="105">
        <f t="shared" si="3"/>
        <v>103.94604254266635</v>
      </c>
      <c r="I38" s="104">
        <f t="shared" si="4"/>
        <v>-69288.33</v>
      </c>
      <c r="J38" s="104">
        <f t="shared" si="5"/>
        <v>54.813658095032515</v>
      </c>
      <c r="K38" s="127">
        <v>54889.45</v>
      </c>
      <c r="L38" s="127">
        <f t="shared" si="1"/>
        <v>29161.320000000007</v>
      </c>
      <c r="M38" s="216">
        <f t="shared" si="9"/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 t="shared" si="6"/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 t="shared" si="0"/>
        <v>-2.1999999999999993</v>
      </c>
      <c r="H39" s="105">
        <f t="shared" si="3"/>
        <v>91.43968871595331</v>
      </c>
      <c r="I39" s="104">
        <f t="shared" si="4"/>
        <v>-31.5</v>
      </c>
      <c r="J39" s="104">
        <f t="shared" si="5"/>
        <v>42.72727272727273</v>
      </c>
      <c r="K39" s="127">
        <v>14.01</v>
      </c>
      <c r="L39" s="127">
        <f t="shared" si="1"/>
        <v>9.49</v>
      </c>
      <c r="M39" s="216">
        <f t="shared" si="9"/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 t="shared" si="6"/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 t="shared" si="0"/>
        <v>0.69</v>
      </c>
      <c r="H40" s="30"/>
      <c r="I40" s="37">
        <f t="shared" si="4"/>
        <v>0.69</v>
      </c>
      <c r="J40" s="37"/>
      <c r="K40" s="119">
        <v>0</v>
      </c>
      <c r="L40" s="119">
        <f t="shared" si="1"/>
        <v>0.69</v>
      </c>
      <c r="M40" s="217" t="e">
        <f t="shared" si="9"/>
        <v>#DIV/0!</v>
      </c>
      <c r="N40" s="157">
        <f>E40-травень!E40</f>
        <v>0</v>
      </c>
      <c r="O40" s="160">
        <f>F40-травень!F40</f>
        <v>0.33999999999999997</v>
      </c>
      <c r="P40" s="36">
        <f t="shared" si="6"/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 t="shared" si="1"/>
        <v>4797.800000000007</v>
      </c>
      <c r="M41" s="205">
        <f t="shared" si="9"/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 t="shared" si="1"/>
        <v>1964.6</v>
      </c>
      <c r="M42" s="218">
        <f t="shared" si="9"/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 aca="true" t="shared" si="11" ref="Q42:Q65">O42/N42*100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 aca="true" t="shared" si="12" ref="G43:G66">F43-E43</f>
        <v>-346.3600000000006</v>
      </c>
      <c r="H43" s="164">
        <f t="shared" si="10"/>
        <v>97.47182481751825</v>
      </c>
      <c r="I43" s="165">
        <f aca="true" t="shared" si="13" ref="I43:I66">F43-D43</f>
        <v>-16646.36</v>
      </c>
      <c r="J43" s="165">
        <f>F43/D43*100</f>
        <v>44.51213333333333</v>
      </c>
      <c r="K43" s="165">
        <v>13895.81</v>
      </c>
      <c r="L43" s="165">
        <f t="shared" si="1"/>
        <v>-542.1700000000001</v>
      </c>
      <c r="M43" s="218">
        <f t="shared" si="9"/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 aca="true" t="shared" si="14" ref="P43:P66">O43-N43</f>
        <v>74.47999999999956</v>
      </c>
      <c r="Q43" s="165">
        <f t="shared" si="11"/>
        <v>102.65999999999997</v>
      </c>
      <c r="R43" s="37">
        <v>2874.5</v>
      </c>
      <c r="S43" s="37">
        <f aca="true" t="shared" si="15" ref="S43:S66">O43-R43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 t="shared" si="12"/>
        <v>80.8</v>
      </c>
      <c r="H44" s="164">
        <f>F44/E44*100</f>
        <v>467.2727272727273</v>
      </c>
      <c r="I44" s="165">
        <f t="shared" si="13"/>
        <v>62.8</v>
      </c>
      <c r="J44" s="165">
        <f aca="true" t="shared" si="16" ref="J44:J65">F44/D44*100</f>
        <v>257</v>
      </c>
      <c r="K44" s="165">
        <v>28.07</v>
      </c>
      <c r="L44" s="165">
        <f t="shared" si="1"/>
        <v>74.72999999999999</v>
      </c>
      <c r="M44" s="218">
        <f aca="true" t="shared" si="17" ref="M44:M66">F44/K44</f>
        <v>3.6622728892055574</v>
      </c>
      <c r="N44" s="164">
        <f>E44-травень!E44</f>
        <v>1</v>
      </c>
      <c r="O44" s="168">
        <f>F44-травень!F44</f>
        <v>10</v>
      </c>
      <c r="P44" s="167">
        <f t="shared" si="14"/>
        <v>9</v>
      </c>
      <c r="Q44" s="165">
        <f t="shared" si="11"/>
        <v>1000</v>
      </c>
      <c r="R44" s="37">
        <v>10</v>
      </c>
      <c r="S44" s="37">
        <f t="shared" si="15"/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E45-травень!E45</f>
        <v>0</v>
      </c>
      <c r="O45" s="168">
        <f>F45-травень!F45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 t="shared" si="12"/>
        <v>373.53</v>
      </c>
      <c r="H46" s="164">
        <f t="shared" si="10"/>
        <v>391.8203125</v>
      </c>
      <c r="I46" s="165">
        <f t="shared" si="13"/>
        <v>241.52999999999997</v>
      </c>
      <c r="J46" s="165">
        <f t="shared" si="16"/>
        <v>192.89615384615385</v>
      </c>
      <c r="K46" s="165">
        <v>60.97</v>
      </c>
      <c r="L46" s="165">
        <f t="shared" si="1"/>
        <v>440.55999999999995</v>
      </c>
      <c r="M46" s="218">
        <f t="shared" si="17"/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 t="shared" si="14"/>
        <v>37.26999999999998</v>
      </c>
      <c r="Q46" s="165">
        <f t="shared" si="11"/>
        <v>269.4090909090908</v>
      </c>
      <c r="R46" s="37">
        <v>70</v>
      </c>
      <c r="S46" s="37">
        <f t="shared" si="15"/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 t="shared" si="12"/>
        <v>23.410000000000004</v>
      </c>
      <c r="H47" s="164">
        <f t="shared" si="10"/>
        <v>149.18067226890756</v>
      </c>
      <c r="I47" s="165">
        <f t="shared" si="13"/>
        <v>-26.489999999999995</v>
      </c>
      <c r="J47" s="165">
        <f t="shared" si="16"/>
        <v>72.83076923076923</v>
      </c>
      <c r="K47" s="165">
        <v>13.6</v>
      </c>
      <c r="L47" s="165">
        <f t="shared" si="1"/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 t="shared" si="14"/>
        <v>63.199999999999996</v>
      </c>
      <c r="Q47" s="165">
        <f t="shared" si="11"/>
        <v>1029.4117647058818</v>
      </c>
      <c r="R47" s="37">
        <v>0</v>
      </c>
      <c r="S47" s="37">
        <f t="shared" si="15"/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 t="shared" si="12"/>
        <v>168.91999999999996</v>
      </c>
      <c r="H48" s="164">
        <f t="shared" si="10"/>
        <v>136.72173913043477</v>
      </c>
      <c r="I48" s="165">
        <f t="shared" si="13"/>
        <v>-101.08000000000004</v>
      </c>
      <c r="J48" s="165">
        <f t="shared" si="16"/>
        <v>86.15342465753425</v>
      </c>
      <c r="K48" s="165">
        <v>168.08</v>
      </c>
      <c r="L48" s="165">
        <f t="shared" si="1"/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 t="shared" si="14"/>
        <v>63.789999999999964</v>
      </c>
      <c r="Q48" s="165">
        <f t="shared" si="11"/>
        <v>206.3166666666666</v>
      </c>
      <c r="R48" s="37">
        <v>100</v>
      </c>
      <c r="S48" s="37">
        <f t="shared" si="15"/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 t="shared" si="15"/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 t="shared" si="12"/>
        <v>2324.3099999999995</v>
      </c>
      <c r="H50" s="164">
        <f t="shared" si="10"/>
        <v>138.4819536423841</v>
      </c>
      <c r="I50" s="165">
        <f t="shared" si="13"/>
        <v>-2635.6900000000005</v>
      </c>
      <c r="J50" s="165">
        <f t="shared" si="16"/>
        <v>76.03918181818182</v>
      </c>
      <c r="K50" s="165">
        <v>5001.06</v>
      </c>
      <c r="L50" s="165">
        <f t="shared" si="1"/>
        <v>3363.249999999999</v>
      </c>
      <c r="M50" s="218">
        <f t="shared" si="17"/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 t="shared" si="14"/>
        <v>1214.039999999999</v>
      </c>
      <c r="Q50" s="165">
        <f t="shared" si="11"/>
        <v>234.89333333333323</v>
      </c>
      <c r="R50" s="37">
        <v>1400</v>
      </c>
      <c r="S50" s="37">
        <f t="shared" si="15"/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 t="shared" si="12"/>
        <v>112.81</v>
      </c>
      <c r="H51" s="164">
        <f t="shared" si="10"/>
        <v>175.20666666666668</v>
      </c>
      <c r="I51" s="165">
        <f t="shared" si="13"/>
        <v>-47.19</v>
      </c>
      <c r="J51" s="165">
        <f t="shared" si="16"/>
        <v>84.77741935483871</v>
      </c>
      <c r="K51" s="165">
        <v>68.92</v>
      </c>
      <c r="L51" s="165">
        <f t="shared" si="1"/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 t="shared" si="14"/>
        <v>21.460000000000008</v>
      </c>
      <c r="Q51" s="165">
        <f t="shared" si="11"/>
        <v>185.84000000000003</v>
      </c>
      <c r="R51" s="37">
        <v>40</v>
      </c>
      <c r="S51" s="37">
        <f t="shared" si="15"/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 t="shared" si="12"/>
        <v>7.719999999999999</v>
      </c>
      <c r="H52" s="164">
        <f t="shared" si="10"/>
        <v>170.18181818181816</v>
      </c>
      <c r="I52" s="165">
        <f t="shared" si="13"/>
        <v>-1.2800000000000011</v>
      </c>
      <c r="J52" s="165">
        <f t="shared" si="16"/>
        <v>93.6</v>
      </c>
      <c r="K52" s="165">
        <v>8.54</v>
      </c>
      <c r="L52" s="165">
        <f t="shared" si="1"/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 t="shared" si="14"/>
        <v>2.3999999999999986</v>
      </c>
      <c r="Q52" s="165">
        <f t="shared" si="11"/>
        <v>159.99999999999997</v>
      </c>
      <c r="R52" s="37">
        <v>4</v>
      </c>
      <c r="S52" s="37">
        <f t="shared" si="15"/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 t="shared" si="12"/>
        <v>-377.6500000000001</v>
      </c>
      <c r="H53" s="164">
        <f t="shared" si="10"/>
        <v>89.63923182441701</v>
      </c>
      <c r="I53" s="165">
        <f t="shared" si="13"/>
        <v>-4007.65</v>
      </c>
      <c r="J53" s="165">
        <f t="shared" si="16"/>
        <v>44.912027491408935</v>
      </c>
      <c r="K53" s="165">
        <v>3928.05</v>
      </c>
      <c r="L53" s="165">
        <f t="shared" si="1"/>
        <v>-660.7000000000003</v>
      </c>
      <c r="M53" s="218">
        <f t="shared" si="17"/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 t="shared" si="14"/>
        <v>-58.970000000000255</v>
      </c>
      <c r="Q53" s="165">
        <f t="shared" si="11"/>
        <v>90.25289256198343</v>
      </c>
      <c r="R53" s="37">
        <v>550</v>
      </c>
      <c r="S53" s="37">
        <f t="shared" si="15"/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 t="shared" si="12"/>
        <v>-181.57999999999998</v>
      </c>
      <c r="H54" s="164">
        <f t="shared" si="10"/>
        <v>68.1438596491228</v>
      </c>
      <c r="I54" s="165">
        <f t="shared" si="13"/>
        <v>-811.5799999999999</v>
      </c>
      <c r="J54" s="165">
        <f t="shared" si="16"/>
        <v>32.36833333333333</v>
      </c>
      <c r="K54" s="165">
        <v>3094.63</v>
      </c>
      <c r="L54" s="165">
        <f t="shared" si="1"/>
        <v>-2706.21</v>
      </c>
      <c r="M54" s="218">
        <f t="shared" si="17"/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 t="shared" si="14"/>
        <v>-40.099999999999966</v>
      </c>
      <c r="Q54" s="165">
        <f t="shared" si="11"/>
        <v>57.789473684210556</v>
      </c>
      <c r="R54" s="37">
        <v>50</v>
      </c>
      <c r="S54" s="37">
        <f t="shared" si="15"/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 t="shared" si="12"/>
        <v>-147.47000000000003</v>
      </c>
      <c r="H55" s="30">
        <f t="shared" si="10"/>
        <v>69.27708333333332</v>
      </c>
      <c r="I55" s="104">
        <f t="shared" si="13"/>
        <v>-665.47</v>
      </c>
      <c r="J55" s="104">
        <f t="shared" si="16"/>
        <v>33.31963927855711</v>
      </c>
      <c r="K55" s="104">
        <v>420.67</v>
      </c>
      <c r="L55" s="104">
        <f>F55-K55</f>
        <v>-88.14000000000004</v>
      </c>
      <c r="M55" s="109">
        <f t="shared" si="17"/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 t="shared" si="14"/>
        <v>-37.85000000000002</v>
      </c>
      <c r="Q55" s="119">
        <f t="shared" si="11"/>
        <v>52.68749999999998</v>
      </c>
      <c r="R55" s="37"/>
      <c r="S55" s="37">
        <f t="shared" si="15"/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0.24</v>
      </c>
      <c r="L56" s="104">
        <f>F56-K56</f>
        <v>-0.09</v>
      </c>
      <c r="M56" s="109">
        <f t="shared" si="17"/>
        <v>0.625</v>
      </c>
      <c r="N56" s="105">
        <f>E56-травень!E56</f>
        <v>0</v>
      </c>
      <c r="O56" s="144">
        <f>F56-травень!F56</f>
        <v>0</v>
      </c>
      <c r="P56" s="106">
        <f t="shared" si="14"/>
        <v>0</v>
      </c>
      <c r="Q56" s="119" t="e">
        <f t="shared" si="11"/>
        <v>#DIV/0!</v>
      </c>
      <c r="R56" s="37"/>
      <c r="S56" s="37">
        <f t="shared" si="15"/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E57-травень!E57</f>
        <v>0</v>
      </c>
      <c r="O57" s="144">
        <f>F57-травень!F57</f>
        <v>0</v>
      </c>
      <c r="P57" s="106">
        <f t="shared" si="14"/>
        <v>0</v>
      </c>
      <c r="Q57" s="119"/>
      <c r="R57" s="37"/>
      <c r="S57" s="37">
        <f t="shared" si="15"/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 t="shared" si="12"/>
        <v>-34.26</v>
      </c>
      <c r="H58" s="30">
        <f t="shared" si="10"/>
        <v>61.93333333333334</v>
      </c>
      <c r="I58" s="104">
        <f t="shared" si="13"/>
        <v>-144.26</v>
      </c>
      <c r="J58" s="104">
        <f t="shared" si="16"/>
        <v>27.87</v>
      </c>
      <c r="K58" s="104">
        <v>2673.71</v>
      </c>
      <c r="L58" s="104">
        <f>F58-K58</f>
        <v>-2617.9700000000003</v>
      </c>
      <c r="M58" s="109">
        <f t="shared" si="17"/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 t="shared" si="14"/>
        <v>-2.259999999999998</v>
      </c>
      <c r="Q58" s="119">
        <f t="shared" si="11"/>
        <v>84.93333333333335</v>
      </c>
      <c r="R58" s="37"/>
      <c r="S58" s="37">
        <f t="shared" si="15"/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E59-травень!E59</f>
        <v>0</v>
      </c>
      <c r="O59" s="168">
        <f>F59-травень!F59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 t="shared" si="12"/>
        <v>-25.220000000000255</v>
      </c>
      <c r="H60" s="164">
        <f t="shared" si="10"/>
        <v>99.48106995884774</v>
      </c>
      <c r="I60" s="165">
        <f t="shared" si="13"/>
        <v>-2515.2200000000003</v>
      </c>
      <c r="J60" s="165">
        <f t="shared" si="16"/>
        <v>65.77931972789115</v>
      </c>
      <c r="K60" s="165">
        <v>2709.14</v>
      </c>
      <c r="L60" s="165">
        <f aca="true" t="shared" si="18" ref="L60:L66">F60-K60</f>
        <v>2125.64</v>
      </c>
      <c r="M60" s="218">
        <f t="shared" si="17"/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 t="shared" si="14"/>
        <v>197.63999999999987</v>
      </c>
      <c r="Q60" s="165">
        <f t="shared" si="11"/>
        <v>132.93999999999997</v>
      </c>
      <c r="R60" s="37">
        <v>500</v>
      </c>
      <c r="S60" s="37">
        <f t="shared" si="15"/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 t="shared" si="18"/>
        <v>477.45000000000005</v>
      </c>
      <c r="M62" s="218">
        <f t="shared" si="17"/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 t="shared" si="15"/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 t="shared" si="12"/>
        <v>34.64</v>
      </c>
      <c r="H64" s="164">
        <f t="shared" si="10"/>
        <v>273.20000000000005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E64-травень!E64</f>
        <v>0</v>
      </c>
      <c r="O64" s="168">
        <f>F64-травень!F64</f>
        <v>0</v>
      </c>
      <c r="P64" s="167">
        <f t="shared" si="14"/>
        <v>0</v>
      </c>
      <c r="Q64" s="165"/>
      <c r="R64" s="37">
        <v>0</v>
      </c>
      <c r="S64" s="37">
        <f t="shared" si="15"/>
        <v>0</v>
      </c>
    </row>
    <row r="65" spans="1:19" s="6" customFormat="1" ht="30.75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 t="shared" si="12"/>
        <v>17.78</v>
      </c>
      <c r="H65" s="164">
        <f t="shared" si="10"/>
        <v>333.94736842105266</v>
      </c>
      <c r="I65" s="165">
        <f t="shared" si="13"/>
        <v>10.379999999999999</v>
      </c>
      <c r="J65" s="165">
        <f t="shared" si="16"/>
        <v>169.2</v>
      </c>
      <c r="K65" s="165">
        <v>13.52</v>
      </c>
      <c r="L65" s="165">
        <f t="shared" si="18"/>
        <v>11.86</v>
      </c>
      <c r="M65" s="218">
        <f t="shared" si="17"/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 t="shared" si="14"/>
        <v>1.8299999999999983</v>
      </c>
      <c r="Q65" s="165">
        <f t="shared" si="11"/>
        <v>252.49999999999994</v>
      </c>
      <c r="R65" s="37">
        <v>3.2</v>
      </c>
      <c r="S65" s="37">
        <f t="shared" si="15"/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0.4</v>
      </c>
      <c r="L66" s="165">
        <f t="shared" si="18"/>
        <v>-5.65</v>
      </c>
      <c r="M66" s="218">
        <f t="shared" si="17"/>
        <v>-13.125</v>
      </c>
      <c r="N66" s="164">
        <f>E66-травень!E66</f>
        <v>0</v>
      </c>
      <c r="O66" s="168">
        <f>F66-травень!F66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 aca="true" t="shared" si="22" ref="P75:P89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 t="shared" si="19"/>
        <v>-8996.28</v>
      </c>
      <c r="H76" s="164">
        <f>F76/E76*100</f>
        <v>0.04133333333333334</v>
      </c>
      <c r="I76" s="167">
        <f t="shared" si="20"/>
        <v>-104202.31</v>
      </c>
      <c r="J76" s="167">
        <f>F76/D76*100</f>
        <v>0.0035698509961467682</v>
      </c>
      <c r="K76" s="167">
        <v>1042.02</v>
      </c>
      <c r="L76" s="167">
        <f t="shared" si="21"/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 t="shared" si="22"/>
        <v>-4496.41</v>
      </c>
      <c r="Q76" s="167">
        <f>O76/N76*100</f>
        <v>0.0797777777777778</v>
      </c>
      <c r="R76" s="38">
        <v>0</v>
      </c>
      <c r="S76" s="38">
        <f aca="true" t="shared" si="23" ref="S76:S87">O76-R76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 t="shared" si="19"/>
        <v>-14012.85</v>
      </c>
      <c r="H77" s="164">
        <f>F77/E77*100</f>
        <v>10.346449136276393</v>
      </c>
      <c r="I77" s="167">
        <f t="shared" si="20"/>
        <v>-52382.85</v>
      </c>
      <c r="J77" s="167">
        <f>F77/D77*100</f>
        <v>2.9947222222222223</v>
      </c>
      <c r="K77" s="167">
        <v>936.04</v>
      </c>
      <c r="L77" s="167">
        <f t="shared" si="21"/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 t="shared" si="22"/>
        <v>-2287.75</v>
      </c>
      <c r="Q77" s="167">
        <f>O77/N77*100</f>
        <v>36.45138888888889</v>
      </c>
      <c r="R77" s="38">
        <v>200</v>
      </c>
      <c r="S77" s="38">
        <f t="shared" si="23"/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 t="shared" si="19"/>
        <v>-9631.779999999999</v>
      </c>
      <c r="H78" s="164">
        <f>F78/E78*100</f>
        <v>40.544567901234565</v>
      </c>
      <c r="I78" s="167">
        <f t="shared" si="20"/>
        <v>-72431.78</v>
      </c>
      <c r="J78" s="167">
        <f>F78/D78*100</f>
        <v>8.31420253164557</v>
      </c>
      <c r="K78" s="167">
        <v>9374.51</v>
      </c>
      <c r="L78" s="167">
        <f t="shared" si="21"/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 t="shared" si="22"/>
        <v>-1867.1999999999998</v>
      </c>
      <c r="Q78" s="167">
        <f>O78/N78*100</f>
        <v>51.5012987012987</v>
      </c>
      <c r="R78" s="38">
        <v>1500</v>
      </c>
      <c r="S78" s="38">
        <f t="shared" si="23"/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 t="shared" si="19"/>
        <v>1</v>
      </c>
      <c r="H79" s="164">
        <f>F79/E79*100</f>
        <v>116.66666666666667</v>
      </c>
      <c r="I79" s="167">
        <f t="shared" si="20"/>
        <v>-5</v>
      </c>
      <c r="J79" s="167">
        <f>F79/D79*100</f>
        <v>58.333333333333336</v>
      </c>
      <c r="K79" s="167">
        <v>6</v>
      </c>
      <c r="L79" s="167">
        <f t="shared" si="21"/>
        <v>1</v>
      </c>
      <c r="M79" s="209"/>
      <c r="N79" s="164">
        <f>E79-травень!E79</f>
        <v>1</v>
      </c>
      <c r="O79" s="168">
        <f>F79-травень!F79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 t="shared" si="19"/>
        <v>-32639.91</v>
      </c>
      <c r="H80" s="186">
        <f>F80/E80*100</f>
        <v>20.070746400235087</v>
      </c>
      <c r="I80" s="187">
        <f t="shared" si="20"/>
        <v>-229021.94</v>
      </c>
      <c r="J80" s="187">
        <f>F80/D80*100</f>
        <v>3.4550872882638815</v>
      </c>
      <c r="K80" s="187">
        <v>11358.57</v>
      </c>
      <c r="L80" s="187">
        <f t="shared" si="21"/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 t="shared" si="22"/>
        <v>-8651.36</v>
      </c>
      <c r="Q80" s="187">
        <f>O80/N80*100</f>
        <v>27.609739770730485</v>
      </c>
      <c r="R80" s="39">
        <f>SUM(R76:R79)</f>
        <v>1701</v>
      </c>
      <c r="S80" s="39">
        <f t="shared" si="23"/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 t="shared" si="19"/>
        <v>31.310000000000002</v>
      </c>
      <c r="H81" s="164"/>
      <c r="I81" s="167">
        <f t="shared" si="20"/>
        <v>-4.689999999999998</v>
      </c>
      <c r="J81" s="167"/>
      <c r="K81" s="167">
        <v>5.19</v>
      </c>
      <c r="L81" s="167">
        <f t="shared" si="21"/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 t="shared" si="22"/>
        <v>0.7100000000000009</v>
      </c>
      <c r="Q81" s="167"/>
      <c r="R81" s="38">
        <v>1</v>
      </c>
      <c r="S81" s="38">
        <f t="shared" si="23"/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 t="shared" si="22"/>
        <v>0</v>
      </c>
      <c r="Q82" s="190"/>
      <c r="R82" s="41"/>
      <c r="S82" s="38">
        <f t="shared" si="23"/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 t="shared" si="19"/>
        <v>597.0100000000002</v>
      </c>
      <c r="H83" s="164">
        <f>F83/E83*100</f>
        <v>113.24628355890837</v>
      </c>
      <c r="I83" s="167">
        <f t="shared" si="20"/>
        <v>-3255.99</v>
      </c>
      <c r="J83" s="167">
        <f>F83/D83*100</f>
        <v>61.05275119617225</v>
      </c>
      <c r="K83" s="167">
        <v>4890.44</v>
      </c>
      <c r="L83" s="167">
        <f t="shared" si="21"/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 t="shared" si="23"/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0.81</v>
      </c>
      <c r="L84" s="167">
        <f t="shared" si="21"/>
        <v>-0.76</v>
      </c>
      <c r="M84" s="209">
        <f aca="true" t="shared" si="24" ref="M84:M89">F84/K84</f>
        <v>0.06172839506172839</v>
      </c>
      <c r="N84" s="164">
        <f>E84-травень!E84</f>
        <v>0</v>
      </c>
      <c r="O84" s="168">
        <f>F84-травень!F84</f>
        <v>0</v>
      </c>
      <c r="P84" s="167">
        <f t="shared" si="22"/>
        <v>0</v>
      </c>
      <c r="Q84" s="167"/>
      <c r="R84" s="38">
        <v>0</v>
      </c>
      <c r="S84" s="38">
        <f t="shared" si="23"/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 t="shared" si="20"/>
        <v>-3260.63</v>
      </c>
      <c r="J85" s="187">
        <f>F85/D85*100</f>
        <v>61.18297619047619</v>
      </c>
      <c r="K85" s="187">
        <v>4896.43</v>
      </c>
      <c r="L85" s="187">
        <f t="shared" si="21"/>
        <v>242.9399999999996</v>
      </c>
      <c r="M85" s="220">
        <f t="shared" si="24"/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 t="shared" si="23"/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 t="shared" si="19"/>
        <v>-15.56</v>
      </c>
      <c r="H86" s="164">
        <f>F86/E86*100</f>
        <v>33.21888412017167</v>
      </c>
      <c r="I86" s="167">
        <f t="shared" si="20"/>
        <v>-30.259999999999998</v>
      </c>
      <c r="J86" s="167">
        <f>F86/D86*100</f>
        <v>20.36842105263158</v>
      </c>
      <c r="K86" s="167">
        <v>18.25</v>
      </c>
      <c r="L86" s="167">
        <f t="shared" si="21"/>
        <v>-10.51</v>
      </c>
      <c r="M86" s="209">
        <f t="shared" si="24"/>
        <v>0.4241095890410959</v>
      </c>
      <c r="N86" s="164">
        <f>E86-травень!E86</f>
        <v>8</v>
      </c>
      <c r="O86" s="168">
        <f>F86-травень!F86</f>
        <v>0</v>
      </c>
      <c r="P86" s="167">
        <f t="shared" si="22"/>
        <v>-8</v>
      </c>
      <c r="Q86" s="167">
        <f>O86/N86</f>
        <v>0</v>
      </c>
      <c r="R86" s="38">
        <v>1.2</v>
      </c>
      <c r="S86" s="38">
        <f t="shared" si="23"/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 t="shared" si="24"/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 t="shared" si="22"/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 t="shared" si="24"/>
        <v>1.2854239630240816</v>
      </c>
      <c r="N89" s="192">
        <f>N67+N88</f>
        <v>121252</v>
      </c>
      <c r="O89" s="192">
        <f>O67+O88</f>
        <v>114382.17999999998</v>
      </c>
      <c r="P89" s="194">
        <f t="shared" si="22"/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03"/>
      <c r="P93" s="303"/>
    </row>
    <row r="94" spans="3:16" ht="15" hidden="1">
      <c r="C94" s="81">
        <v>42913</v>
      </c>
      <c r="D94" s="29">
        <v>9872.9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 hidden="1">
      <c r="C95" s="81">
        <v>42912</v>
      </c>
      <c r="D95" s="29">
        <v>4876.1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 hidden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 hidden="1">
      <c r="B97" s="301" t="s">
        <v>56</v>
      </c>
      <c r="C97" s="302"/>
      <c r="D97" s="133">
        <v>225.52589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 aca="true" t="shared" si="25" ref="K103:P103">K43+K44+K46+K48+K50+K51+K52+K53+K54+K60+K64+K47</f>
        <v>29017.919999999995</v>
      </c>
      <c r="L103" s="29">
        <f t="shared" si="25"/>
        <v>2831.0099999999984</v>
      </c>
      <c r="M103" s="29">
        <f t="shared" si="25"/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 t="shared" si="25"/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638799.2999999999</v>
      </c>
      <c r="F104" s="229">
        <f t="shared" si="26"/>
        <v>643547.53</v>
      </c>
      <c r="G104" s="29">
        <f t="shared" si="26"/>
        <v>4753.480000000138</v>
      </c>
      <c r="H104" s="230">
        <f>F104/E104</f>
        <v>1.0074330544820573</v>
      </c>
      <c r="I104" s="29">
        <f t="shared" si="26"/>
        <v>-713938.32</v>
      </c>
      <c r="J104" s="230">
        <f>F104/D104</f>
        <v>0.4740712701541837</v>
      </c>
      <c r="K104" s="29">
        <f t="shared" si="26"/>
        <v>29017.919999999995</v>
      </c>
      <c r="L104" s="29">
        <f t="shared" si="26"/>
        <v>2831.0099999999984</v>
      </c>
      <c r="M104" s="29">
        <f t="shared" si="26"/>
        <v>18.594603669297914</v>
      </c>
      <c r="N104" s="29">
        <f t="shared" si="26"/>
        <v>109292</v>
      </c>
      <c r="O104" s="229">
        <f t="shared" si="26"/>
        <v>111080.19999999998</v>
      </c>
      <c r="P104" s="29">
        <f t="shared" si="26"/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 aca="true" t="shared" si="27" ref="E105:R105">E67-E104</f>
        <v>0</v>
      </c>
      <c r="F105" s="29">
        <f t="shared" si="27"/>
        <v>1.1799999999348074</v>
      </c>
      <c r="G105" s="29">
        <f t="shared" si="27"/>
        <v>-4.07000000010521</v>
      </c>
      <c r="H105" s="230"/>
      <c r="I105" s="29">
        <f t="shared" si="27"/>
        <v>-4.070000000181608</v>
      </c>
      <c r="J105" s="230"/>
      <c r="K105" s="29">
        <f t="shared" si="27"/>
        <v>465768.07</v>
      </c>
      <c r="L105" s="29">
        <f t="shared" si="27"/>
        <v>145931.70999999996</v>
      </c>
      <c r="M105" s="29">
        <f t="shared" si="27"/>
        <v>-17.29394293312792</v>
      </c>
      <c r="N105" s="29">
        <f t="shared" si="27"/>
        <v>0</v>
      </c>
      <c r="O105" s="29">
        <f t="shared" si="27"/>
        <v>0.33999999999650754</v>
      </c>
      <c r="P105" s="29">
        <f t="shared" si="27"/>
        <v>0.3399999999899137</v>
      </c>
      <c r="Q105" s="29"/>
      <c r="R105" s="29">
        <f t="shared" si="27"/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 t="shared" si="29"/>
        <v>-29919.009999999776</v>
      </c>
      <c r="H124" s="277">
        <f t="shared" si="31"/>
        <v>97.61207127060196</v>
      </c>
      <c r="I124" s="279">
        <f t="shared" si="30"/>
        <v>-1675415.79</v>
      </c>
      <c r="J124" s="279">
        <f t="shared" si="32"/>
        <v>42.19562883559301</v>
      </c>
      <c r="Q124" s="243"/>
    </row>
    <row r="125" ht="15" hidden="1"/>
    <row r="126" ht="15" hidden="1"/>
    <row r="127" ht="15" hidden="1"/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0" t="s">
        <v>207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6"/>
      <c r="T1" s="86"/>
      <c r="U1" s="87"/>
    </row>
    <row r="2" spans="2:21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201</v>
      </c>
      <c r="O3" s="331" t="s">
        <v>202</v>
      </c>
      <c r="P3" s="331"/>
      <c r="Q3" s="331"/>
      <c r="R3" s="331"/>
      <c r="S3" s="331"/>
      <c r="T3" s="331"/>
      <c r="U3" s="331"/>
    </row>
    <row r="4" spans="1:21" ht="22.5" customHeight="1">
      <c r="A4" s="322"/>
      <c r="B4" s="324"/>
      <c r="C4" s="325"/>
      <c r="D4" s="326"/>
      <c r="E4" s="332" t="s">
        <v>198</v>
      </c>
      <c r="F4" s="314" t="s">
        <v>33</v>
      </c>
      <c r="G4" s="305" t="s">
        <v>199</v>
      </c>
      <c r="H4" s="316" t="s">
        <v>200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208</v>
      </c>
      <c r="P4" s="305" t="s">
        <v>49</v>
      </c>
      <c r="Q4" s="30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204</v>
      </c>
      <c r="L5" s="309"/>
      <c r="M5" s="310"/>
      <c r="N5" s="317"/>
      <c r="O5" s="319"/>
      <c r="P5" s="306"/>
      <c r="Q5" s="307"/>
      <c r="R5" s="311" t="s">
        <v>203</v>
      </c>
      <c r="S5" s="312"/>
      <c r="T5" s="334" t="s">
        <v>194</v>
      </c>
      <c r="U5" s="33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 aca="true" t="shared" si="0" ref="G8:G40">F8-E8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 aca="true" t="shared" si="1" ref="L8:L54">F8-K8</f>
        <v>130101.00000000006</v>
      </c>
      <c r="M8" s="205">
        <f aca="true" t="shared" si="2" ref="M8:M31">F8/K8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 t="shared" si="0"/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 t="shared" si="1"/>
        <v>82530.66</v>
      </c>
      <c r="M9" s="206">
        <f t="shared" si="2"/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 t="shared" si="0"/>
        <v>4419.179999999993</v>
      </c>
      <c r="H10" s="30">
        <f aca="true" t="shared" si="3" ref="H10:H39">F10/E10*100</f>
        <v>101.74560752093538</v>
      </c>
      <c r="I10" s="104">
        <f aca="true" t="shared" si="4" ref="I10:I40">F10-D10</f>
        <v>-443737.82</v>
      </c>
      <c r="J10" s="104">
        <f aca="true" t="shared" si="5" ref="J10:J39">F10/D10*100</f>
        <v>36.72792474729687</v>
      </c>
      <c r="K10" s="106">
        <v>174168.33</v>
      </c>
      <c r="L10" s="106">
        <f t="shared" si="1"/>
        <v>83410.85</v>
      </c>
      <c r="M10" s="207">
        <f t="shared" si="2"/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 aca="true" t="shared" si="6" ref="P10:P40">O10-N10</f>
        <v>189.32000000000698</v>
      </c>
      <c r="Q10" s="104">
        <f aca="true" t="shared" si="7" ref="Q10:Q27">O10/N10*100</f>
        <v>100.35704586602294</v>
      </c>
      <c r="R10" s="37"/>
      <c r="S10" s="100">
        <f aca="true" t="shared" si="8" ref="S10:S35">O10-R10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 t="shared" si="0"/>
        <v>-2540.1000000000004</v>
      </c>
      <c r="H11" s="30">
        <f t="shared" si="3"/>
        <v>86.16503267973856</v>
      </c>
      <c r="I11" s="104">
        <f t="shared" si="4"/>
        <v>-30686.1</v>
      </c>
      <c r="J11" s="104">
        <f t="shared" si="5"/>
        <v>34.01690104502645</v>
      </c>
      <c r="K11" s="106">
        <v>14679.25</v>
      </c>
      <c r="L11" s="106">
        <f t="shared" si="1"/>
        <v>1140.6499999999996</v>
      </c>
      <c r="M11" s="207">
        <f t="shared" si="2"/>
        <v>1.0777049236166698</v>
      </c>
      <c r="N11" s="105">
        <f>E11-квітень!E11</f>
        <v>3660</v>
      </c>
      <c r="O11" s="144">
        <f>F11-квітень!F11</f>
        <v>3390.75</v>
      </c>
      <c r="P11" s="106">
        <f t="shared" si="6"/>
        <v>-269.25</v>
      </c>
      <c r="Q11" s="104">
        <f t="shared" si="7"/>
        <v>92.64344262295083</v>
      </c>
      <c r="R11" s="37"/>
      <c r="S11" s="100">
        <f t="shared" si="8"/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 t="shared" si="0"/>
        <v>802.2600000000002</v>
      </c>
      <c r="H12" s="30">
        <f t="shared" si="3"/>
        <v>127.28775510204082</v>
      </c>
      <c r="I12" s="104">
        <f t="shared" si="4"/>
        <v>-4537.74</v>
      </c>
      <c r="J12" s="104">
        <f t="shared" si="5"/>
        <v>45.196376811594206</v>
      </c>
      <c r="K12" s="106">
        <v>4583.23</v>
      </c>
      <c r="L12" s="106">
        <f t="shared" si="1"/>
        <v>-840.9699999999993</v>
      </c>
      <c r="M12" s="207">
        <f t="shared" si="2"/>
        <v>0.8165114995319895</v>
      </c>
      <c r="N12" s="105">
        <f>E12-квітень!E12</f>
        <v>600</v>
      </c>
      <c r="O12" s="144">
        <f>F12-квітень!F12</f>
        <v>1132.67</v>
      </c>
      <c r="P12" s="106">
        <f t="shared" si="6"/>
        <v>532.6700000000001</v>
      </c>
      <c r="Q12" s="104">
        <f t="shared" si="7"/>
        <v>188.77833333333334</v>
      </c>
      <c r="R12" s="37"/>
      <c r="S12" s="100">
        <f t="shared" si="8"/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 t="shared" si="0"/>
        <v>-17.409999999999854</v>
      </c>
      <c r="H13" s="30">
        <f t="shared" si="3"/>
        <v>99.55358974358974</v>
      </c>
      <c r="I13" s="104">
        <f t="shared" si="4"/>
        <v>-5507.41</v>
      </c>
      <c r="J13" s="104">
        <f t="shared" si="5"/>
        <v>41.34813631522897</v>
      </c>
      <c r="K13" s="106">
        <v>3763.44</v>
      </c>
      <c r="L13" s="106">
        <f t="shared" si="1"/>
        <v>119.15000000000009</v>
      </c>
      <c r="M13" s="207">
        <f t="shared" si="2"/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 t="shared" si="6"/>
        <v>73.26000000000022</v>
      </c>
      <c r="Q13" s="104">
        <f t="shared" si="7"/>
        <v>112.21000000000004</v>
      </c>
      <c r="R13" s="37"/>
      <c r="S13" s="100">
        <f t="shared" si="8"/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 t="shared" si="0"/>
        <v>127.64999999999998</v>
      </c>
      <c r="H14" s="30">
        <f t="shared" si="3"/>
        <v>126.59375</v>
      </c>
      <c r="I14" s="104">
        <f t="shared" si="4"/>
        <v>-544.35</v>
      </c>
      <c r="J14" s="104">
        <f t="shared" si="5"/>
        <v>52.747395833333336</v>
      </c>
      <c r="K14" s="106">
        <v>1906.68</v>
      </c>
      <c r="L14" s="106">
        <f t="shared" si="1"/>
        <v>-1299.0300000000002</v>
      </c>
      <c r="M14" s="207">
        <f t="shared" si="2"/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 t="shared" si="6"/>
        <v>29.47999999999996</v>
      </c>
      <c r="Q14" s="104">
        <f t="shared" si="7"/>
        <v>130.7083333333333</v>
      </c>
      <c r="R14" s="37"/>
      <c r="S14" s="100">
        <f t="shared" si="8"/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E15-квітень!E15</f>
        <v>170</v>
      </c>
      <c r="O15" s="168">
        <f>F15-квітень!F15</f>
        <v>360.92</v>
      </c>
      <c r="P15" s="161">
        <f t="shared" si="6"/>
        <v>190.92000000000002</v>
      </c>
      <c r="Q15" s="158"/>
      <c r="R15" s="292">
        <v>150</v>
      </c>
      <c r="S15" s="291">
        <f t="shared" si="8"/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E16-квітень!E16</f>
        <v>0</v>
      </c>
      <c r="O16" s="168">
        <f>F16-квітень!F16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0.14</v>
      </c>
      <c r="L17" s="161">
        <f t="shared" si="1"/>
        <v>0.35</v>
      </c>
      <c r="M17" s="208">
        <f t="shared" si="2"/>
        <v>3.4999999999999996</v>
      </c>
      <c r="N17" s="164">
        <f>E17-квітень!E17</f>
        <v>0</v>
      </c>
      <c r="O17" s="168">
        <f>F17-квітень!F17</f>
        <v>0.49</v>
      </c>
      <c r="P17" s="167">
        <f t="shared" si="6"/>
        <v>0.49</v>
      </c>
      <c r="Q17" s="158"/>
      <c r="R17" s="104"/>
      <c r="S17" s="100">
        <f t="shared" si="8"/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E18-квітень!E18</f>
        <v>0</v>
      </c>
      <c r="O18" s="168">
        <f>F18-квітень!F18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 t="shared" si="0"/>
        <v>-3404.9100000000035</v>
      </c>
      <c r="H19" s="164">
        <f t="shared" si="3"/>
        <v>92.96506198347106</v>
      </c>
      <c r="I19" s="165">
        <f t="shared" si="4"/>
        <v>-85004.91</v>
      </c>
      <c r="J19" s="165">
        <f t="shared" si="5"/>
        <v>34.611607692307686</v>
      </c>
      <c r="K19" s="161">
        <v>35230.56</v>
      </c>
      <c r="L19" s="167">
        <f t="shared" si="1"/>
        <v>9764.529999999999</v>
      </c>
      <c r="M19" s="213">
        <f t="shared" si="2"/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 t="shared" si="6"/>
        <v>-1609.6740000000063</v>
      </c>
      <c r="Q19" s="165">
        <f t="shared" si="7"/>
        <v>84.66977142857137</v>
      </c>
      <c r="R19" s="292">
        <v>9450</v>
      </c>
      <c r="S19" s="291">
        <f t="shared" si="8"/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 t="shared" si="0"/>
        <v>-3521.5099999999984</v>
      </c>
      <c r="H20" s="195">
        <f t="shared" si="3"/>
        <v>88.12306913996628</v>
      </c>
      <c r="I20" s="254">
        <f t="shared" si="4"/>
        <v>-50371.509999999995</v>
      </c>
      <c r="J20" s="254">
        <f t="shared" si="5"/>
        <v>34.15488888888889</v>
      </c>
      <c r="K20" s="255">
        <v>35230.56</v>
      </c>
      <c r="L20" s="166">
        <f t="shared" si="1"/>
        <v>-9102.069999999996</v>
      </c>
      <c r="M20" s="256">
        <f t="shared" si="2"/>
        <v>0.7416427669614108</v>
      </c>
      <c r="N20" s="195">
        <f>E20-квітень!E20</f>
        <v>5750</v>
      </c>
      <c r="O20" s="179">
        <f>F20-квітень!F20</f>
        <v>4148.91</v>
      </c>
      <c r="P20" s="166">
        <f t="shared" si="6"/>
        <v>-1601.0900000000001</v>
      </c>
      <c r="Q20" s="254">
        <f t="shared" si="7"/>
        <v>72.15495652173914</v>
      </c>
      <c r="R20" s="107">
        <v>4450</v>
      </c>
      <c r="S20" s="100">
        <f t="shared" si="8"/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 t="shared" si="0"/>
        <v>143.69000000000005</v>
      </c>
      <c r="H21" s="195"/>
      <c r="I21" s="254">
        <f t="shared" si="4"/>
        <v>-6606.3099999999995</v>
      </c>
      <c r="J21" s="254">
        <f t="shared" si="5"/>
        <v>38.258785046728974</v>
      </c>
      <c r="K21" s="255">
        <v>0</v>
      </c>
      <c r="L21" s="166">
        <f t="shared" si="1"/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 t="shared" si="6"/>
        <v>24.75</v>
      </c>
      <c r="Q21" s="254"/>
      <c r="R21" s="107">
        <v>1000</v>
      </c>
      <c r="S21" s="100">
        <f t="shared" si="8"/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 t="shared" si="0"/>
        <v>-27.079999999999927</v>
      </c>
      <c r="H22" s="195"/>
      <c r="I22" s="254">
        <f t="shared" si="4"/>
        <v>-28027.08</v>
      </c>
      <c r="J22" s="254">
        <f t="shared" si="5"/>
        <v>34.516168224299065</v>
      </c>
      <c r="K22" s="255">
        <v>0</v>
      </c>
      <c r="L22" s="166">
        <f t="shared" si="1"/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 t="shared" si="6"/>
        <v>-33.31999999999971</v>
      </c>
      <c r="Q22" s="254"/>
      <c r="R22" s="107">
        <v>4000</v>
      </c>
      <c r="S22" s="100">
        <f t="shared" si="8"/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 t="shared" si="0"/>
        <v>1253.1800000000221</v>
      </c>
      <c r="H23" s="157">
        <f t="shared" si="3"/>
        <v>100.70780095858521</v>
      </c>
      <c r="I23" s="158">
        <f t="shared" si="4"/>
        <v>-222824.31999999998</v>
      </c>
      <c r="J23" s="158">
        <f t="shared" si="5"/>
        <v>44.45086020719961</v>
      </c>
      <c r="K23" s="158">
        <v>140248.27</v>
      </c>
      <c r="L23" s="161">
        <f t="shared" si="1"/>
        <v>38057.51000000001</v>
      </c>
      <c r="M23" s="209">
        <f t="shared" si="2"/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 t="shared" si="6"/>
        <v>-1079.609999999957</v>
      </c>
      <c r="Q23" s="158">
        <f t="shared" si="7"/>
        <v>97.16459931558128</v>
      </c>
      <c r="R23" s="283">
        <f>R24+R32+R33+R34+R35</f>
        <v>37059</v>
      </c>
      <c r="S23" s="291">
        <f t="shared" si="8"/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 t="shared" si="0"/>
        <v>-975.7699999999895</v>
      </c>
      <c r="H24" s="157">
        <f t="shared" si="3"/>
        <v>98.82022152660146</v>
      </c>
      <c r="I24" s="158">
        <f t="shared" si="4"/>
        <v>-124888.87</v>
      </c>
      <c r="J24" s="158">
        <f t="shared" si="5"/>
        <v>39.55654555926068</v>
      </c>
      <c r="K24" s="158">
        <v>71540.14</v>
      </c>
      <c r="L24" s="161">
        <f t="shared" si="1"/>
        <v>10191.990000000005</v>
      </c>
      <c r="M24" s="209">
        <f t="shared" si="2"/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 t="shared" si="6"/>
        <v>-1308.9599999999919</v>
      </c>
      <c r="Q24" s="158">
        <f t="shared" si="7"/>
        <v>91.48039911221619</v>
      </c>
      <c r="R24" s="107">
        <f>R25+R28+R29</f>
        <v>14352</v>
      </c>
      <c r="S24" s="100">
        <f t="shared" si="8"/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 t="shared" si="0"/>
        <v>551.9400000000005</v>
      </c>
      <c r="H25" s="173">
        <f t="shared" si="3"/>
        <v>105.75891319998749</v>
      </c>
      <c r="I25" s="174">
        <f t="shared" si="4"/>
        <v>-12672.96</v>
      </c>
      <c r="J25" s="174">
        <f t="shared" si="5"/>
        <v>44.43877416809155</v>
      </c>
      <c r="K25" s="175">
        <v>8640.15</v>
      </c>
      <c r="L25" s="166">
        <f t="shared" si="1"/>
        <v>1495.8900000000012</v>
      </c>
      <c r="M25" s="215">
        <f t="shared" si="2"/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 t="shared" si="6"/>
        <v>135.63000000000102</v>
      </c>
      <c r="Q25" s="174">
        <f t="shared" si="7"/>
        <v>153.3766233766237</v>
      </c>
      <c r="R25" s="283">
        <v>347</v>
      </c>
      <c r="S25" s="291">
        <f t="shared" si="8"/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 t="shared" si="0"/>
        <v>-407.73</v>
      </c>
      <c r="H26" s="199">
        <f t="shared" si="3"/>
        <v>32.606611570247935</v>
      </c>
      <c r="I26" s="200">
        <f t="shared" si="4"/>
        <v>-1625.03</v>
      </c>
      <c r="J26" s="200">
        <f t="shared" si="5"/>
        <v>10.825330626131812</v>
      </c>
      <c r="K26" s="200">
        <v>263.65</v>
      </c>
      <c r="L26" s="200">
        <f t="shared" si="1"/>
        <v>-66.37999999999997</v>
      </c>
      <c r="M26" s="228">
        <f t="shared" si="2"/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 t="shared" si="6"/>
        <v>-57.97</v>
      </c>
      <c r="Q26" s="200">
        <f t="shared" si="7"/>
        <v>-5.399999999999998</v>
      </c>
      <c r="R26" s="107"/>
      <c r="S26" s="100">
        <f t="shared" si="8"/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 t="shared" si="0"/>
        <v>959.6700000000001</v>
      </c>
      <c r="H27" s="199">
        <f t="shared" si="3"/>
        <v>110.68781949193126</v>
      </c>
      <c r="I27" s="200">
        <f t="shared" si="4"/>
        <v>-11047.93</v>
      </c>
      <c r="J27" s="200">
        <f t="shared" si="5"/>
        <v>47.35746925433727</v>
      </c>
      <c r="K27" s="200">
        <v>8376.5</v>
      </c>
      <c r="L27" s="200">
        <f t="shared" si="1"/>
        <v>1562.2700000000004</v>
      </c>
      <c r="M27" s="228">
        <f t="shared" si="2"/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 t="shared" si="6"/>
        <v>193.60000000000036</v>
      </c>
      <c r="Q27" s="200">
        <f t="shared" si="7"/>
        <v>197.23756906077347</v>
      </c>
      <c r="R27" s="107"/>
      <c r="S27" s="100">
        <f t="shared" si="8"/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 t="shared" si="0"/>
        <v>-174.28</v>
      </c>
      <c r="H28" s="173">
        <f t="shared" si="3"/>
        <v>-35.31055900621117</v>
      </c>
      <c r="I28" s="174">
        <f t="shared" si="4"/>
        <v>-865.48</v>
      </c>
      <c r="J28" s="174">
        <f t="shared" si="5"/>
        <v>-5.546341463414634</v>
      </c>
      <c r="K28" s="174">
        <v>420.08</v>
      </c>
      <c r="L28" s="174">
        <f t="shared" si="1"/>
        <v>-465.56</v>
      </c>
      <c r="M28" s="212">
        <f t="shared" si="2"/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 t="shared" si="6"/>
        <v>-155</v>
      </c>
      <c r="Q28" s="174">
        <f>O28/N28*100</f>
        <v>-2999.9999999999914</v>
      </c>
      <c r="R28" s="107">
        <v>5</v>
      </c>
      <c r="S28" s="100">
        <f t="shared" si="8"/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 t="shared" si="0"/>
        <v>-1353.429999999993</v>
      </c>
      <c r="H29" s="173">
        <f t="shared" si="3"/>
        <v>98.1458593054319</v>
      </c>
      <c r="I29" s="174">
        <f t="shared" si="4"/>
        <v>-111350.43</v>
      </c>
      <c r="J29" s="174">
        <f t="shared" si="5"/>
        <v>39.150110387339346</v>
      </c>
      <c r="K29" s="175">
        <v>62479.91</v>
      </c>
      <c r="L29" s="175">
        <f t="shared" si="1"/>
        <v>9161.660000000003</v>
      </c>
      <c r="M29" s="211">
        <f t="shared" si="2"/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 t="shared" si="6"/>
        <v>-1289.5899999999965</v>
      </c>
      <c r="Q29" s="174">
        <f>O29/N29*100</f>
        <v>91.46249586229727</v>
      </c>
      <c r="R29" s="283">
        <v>14000</v>
      </c>
      <c r="S29" s="291">
        <f t="shared" si="8"/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 t="shared" si="0"/>
        <v>2071.2400000000016</v>
      </c>
      <c r="H30" s="199">
        <f t="shared" si="3"/>
        <v>109.380615942029</v>
      </c>
      <c r="I30" s="200">
        <f t="shared" si="4"/>
        <v>-33381.759999999995</v>
      </c>
      <c r="J30" s="200">
        <f t="shared" si="5"/>
        <v>41.97806476283177</v>
      </c>
      <c r="K30" s="200">
        <v>19348.56</v>
      </c>
      <c r="L30" s="200">
        <f t="shared" si="1"/>
        <v>4802.68</v>
      </c>
      <c r="M30" s="228">
        <f t="shared" si="2"/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 t="shared" si="6"/>
        <v>196.71000000000276</v>
      </c>
      <c r="Q30" s="200">
        <f>O30/N30*100</f>
        <v>104.23032258064522</v>
      </c>
      <c r="R30" s="107"/>
      <c r="S30" s="100">
        <f t="shared" si="8"/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 t="shared" si="0"/>
        <v>-3424.6699999999983</v>
      </c>
      <c r="H31" s="199">
        <f t="shared" si="3"/>
        <v>93.27375036826083</v>
      </c>
      <c r="I31" s="200">
        <f t="shared" si="4"/>
        <v>-77968.67</v>
      </c>
      <c r="J31" s="200">
        <f t="shared" si="5"/>
        <v>37.853266804294634</v>
      </c>
      <c r="K31" s="200">
        <v>43131.35</v>
      </c>
      <c r="L31" s="200">
        <f t="shared" si="1"/>
        <v>4358.980000000003</v>
      </c>
      <c r="M31" s="228">
        <f t="shared" si="2"/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 t="shared" si="6"/>
        <v>-1486.2999999999956</v>
      </c>
      <c r="Q31" s="200">
        <f>O31/N31*100</f>
        <v>85.78383548541372</v>
      </c>
      <c r="R31" s="107"/>
      <c r="S31" s="100">
        <f t="shared" si="8"/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E32-квітень!E32</f>
        <v>0</v>
      </c>
      <c r="O32" s="160">
        <f>F32-квітень!F32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 t="shared" si="0"/>
        <v>36.230000000000004</v>
      </c>
      <c r="H33" s="157">
        <f t="shared" si="3"/>
        <v>192.8974358974359</v>
      </c>
      <c r="I33" s="158">
        <f t="shared" si="4"/>
        <v>-39.769999999999996</v>
      </c>
      <c r="J33" s="158">
        <f t="shared" si="5"/>
        <v>65.41739130434783</v>
      </c>
      <c r="K33" s="158">
        <v>51.14</v>
      </c>
      <c r="L33" s="158">
        <f t="shared" si="1"/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 t="shared" si="6"/>
        <v>10.820000000000007</v>
      </c>
      <c r="Q33" s="158">
        <f>O33/N33*100</f>
        <v>190.16666666666674</v>
      </c>
      <c r="R33" s="107">
        <v>7</v>
      </c>
      <c r="S33" s="100">
        <f t="shared" si="8"/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 t="shared" si="0"/>
        <v>-26.77</v>
      </c>
      <c r="H34" s="157"/>
      <c r="I34" s="158">
        <f t="shared" si="4"/>
        <v>-26.77</v>
      </c>
      <c r="J34" s="158"/>
      <c r="K34" s="158">
        <v>-109.72</v>
      </c>
      <c r="L34" s="158">
        <f t="shared" si="1"/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 t="shared" si="6"/>
        <v>0.5800000000000018</v>
      </c>
      <c r="Q34" s="158"/>
      <c r="R34" s="107"/>
      <c r="S34" s="100">
        <f t="shared" si="8"/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 t="shared" si="0"/>
        <v>2219.290000000008</v>
      </c>
      <c r="H35" s="164">
        <f t="shared" si="3"/>
        <v>102.35329359731173</v>
      </c>
      <c r="I35" s="165">
        <f t="shared" si="4"/>
        <v>-97869.11</v>
      </c>
      <c r="J35" s="165">
        <f t="shared" si="5"/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 t="shared" si="6"/>
        <v>217.95000000001164</v>
      </c>
      <c r="Q35" s="165">
        <f>O35/N35*100</f>
        <v>100.96013215859037</v>
      </c>
      <c r="R35" s="283">
        <v>22700</v>
      </c>
      <c r="S35" s="291">
        <f t="shared" si="8"/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0.18</v>
      </c>
      <c r="L36" s="127">
        <f t="shared" si="1"/>
        <v>-0.16999999999999998</v>
      </c>
      <c r="M36" s="216">
        <f aca="true" t="shared" si="9" ref="M36:M42">F36/K36</f>
        <v>0.05555555555555556</v>
      </c>
      <c r="N36" s="105">
        <f>E36-квітень!E36</f>
        <v>0</v>
      </c>
      <c r="O36" s="144">
        <f>F36-квітень!F36</f>
        <v>0.01</v>
      </c>
      <c r="P36" s="106">
        <f t="shared" si="6"/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 t="shared" si="0"/>
        <v>341.6899999999987</v>
      </c>
      <c r="H37" s="105">
        <f t="shared" si="3"/>
        <v>101.80597251585624</v>
      </c>
      <c r="I37" s="104">
        <f t="shared" si="4"/>
        <v>-21738.31</v>
      </c>
      <c r="J37" s="104">
        <f t="shared" si="5"/>
        <v>46.97973170731707</v>
      </c>
      <c r="K37" s="127">
        <v>17552.06</v>
      </c>
      <c r="L37" s="127">
        <f t="shared" si="1"/>
        <v>1709.6299999999974</v>
      </c>
      <c r="M37" s="216">
        <f t="shared" si="9"/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 t="shared" si="6"/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 t="shared" si="0"/>
        <v>1880.1900000000023</v>
      </c>
      <c r="H38" s="105">
        <f t="shared" si="3"/>
        <v>102.49494426751593</v>
      </c>
      <c r="I38" s="104">
        <f t="shared" si="4"/>
        <v>-76098.91</v>
      </c>
      <c r="J38" s="104">
        <f t="shared" si="5"/>
        <v>50.37214252594413</v>
      </c>
      <c r="K38" s="127">
        <v>51200.46</v>
      </c>
      <c r="L38" s="127">
        <f t="shared" si="1"/>
        <v>26039.730000000003</v>
      </c>
      <c r="M38" s="216">
        <f t="shared" si="9"/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 t="shared" si="6"/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E39-квітень!E39</f>
        <v>0</v>
      </c>
      <c r="O39" s="144">
        <f>F39-квітень!F39</f>
        <v>0</v>
      </c>
      <c r="P39" s="106">
        <f t="shared" si="6"/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 t="shared" si="0"/>
        <v>0.35</v>
      </c>
      <c r="H40" s="30"/>
      <c r="I40" s="37">
        <f t="shared" si="4"/>
        <v>0.35</v>
      </c>
      <c r="J40" s="37"/>
      <c r="K40" s="119">
        <v>0</v>
      </c>
      <c r="L40" s="119">
        <f t="shared" si="1"/>
        <v>0.35</v>
      </c>
      <c r="M40" s="217" t="e">
        <f t="shared" si="9"/>
        <v>#DIV/0!</v>
      </c>
      <c r="N40" s="157">
        <f>E40-квітень!E40</f>
        <v>0</v>
      </c>
      <c r="O40" s="160">
        <f>F40-квітень!F40</f>
        <v>0.35</v>
      </c>
      <c r="P40" s="36">
        <f t="shared" si="6"/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 t="shared" si="1"/>
        <v>4514.689999999995</v>
      </c>
      <c r="M41" s="205">
        <f t="shared" si="9"/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 t="shared" si="1"/>
        <v>1964.6</v>
      </c>
      <c r="M42" s="218">
        <f t="shared" si="9"/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 aca="true" t="shared" si="11" ref="Q42:Q65">O42/N42*100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 aca="true" t="shared" si="12" ref="G43:G66">F43-E43</f>
        <v>-420.84000000000015</v>
      </c>
      <c r="H43" s="164">
        <f t="shared" si="10"/>
        <v>96.13908256880734</v>
      </c>
      <c r="I43" s="165">
        <f aca="true" t="shared" si="13" ref="I43:I66">F43-D43</f>
        <v>-19520.84</v>
      </c>
      <c r="J43" s="165">
        <f>F43/D43*100</f>
        <v>34.93053333333333</v>
      </c>
      <c r="K43" s="165">
        <v>10098.73</v>
      </c>
      <c r="L43" s="165">
        <f t="shared" si="1"/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 aca="true" t="shared" si="14" ref="P43:P66">O43-N43</f>
        <v>-127.70300000000043</v>
      </c>
      <c r="Q43" s="165">
        <f t="shared" si="11"/>
        <v>95.43917857142856</v>
      </c>
      <c r="R43" s="37">
        <v>2672.3</v>
      </c>
      <c r="S43" s="37">
        <f aca="true" t="shared" si="15" ref="S43:S66">O43-R43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 t="shared" si="12"/>
        <v>71.8</v>
      </c>
      <c r="H44" s="164">
        <f>F44/E44*100</f>
        <v>441.9047619047619</v>
      </c>
      <c r="I44" s="165">
        <f t="shared" si="13"/>
        <v>52.8</v>
      </c>
      <c r="J44" s="165">
        <f aca="true" t="shared" si="16" ref="J44:J65">F44/D44*100</f>
        <v>231.99999999999997</v>
      </c>
      <c r="K44" s="165">
        <v>27.51</v>
      </c>
      <c r="L44" s="165">
        <f t="shared" si="1"/>
        <v>65.28999999999999</v>
      </c>
      <c r="M44" s="218">
        <f aca="true" t="shared" si="17" ref="M44:M66">F44/K44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 t="shared" si="14"/>
        <v>8.99799999999999</v>
      </c>
      <c r="Q44" s="165">
        <f t="shared" si="11"/>
        <v>999.799999999999</v>
      </c>
      <c r="R44" s="37">
        <v>1</v>
      </c>
      <c r="S44" s="37">
        <f t="shared" si="15"/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E45-квітень!E45</f>
        <v>0</v>
      </c>
      <c r="O45" s="168">
        <f>F45-квітень!F45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 t="shared" si="12"/>
        <v>336.26</v>
      </c>
      <c r="H46" s="164">
        <f t="shared" si="10"/>
        <v>417.2264150943396</v>
      </c>
      <c r="I46" s="165">
        <f t="shared" si="13"/>
        <v>182.26</v>
      </c>
      <c r="J46" s="165">
        <f t="shared" si="16"/>
        <v>170.1</v>
      </c>
      <c r="K46" s="165">
        <v>50.4</v>
      </c>
      <c r="L46" s="165">
        <f t="shared" si="1"/>
        <v>391.86</v>
      </c>
      <c r="M46" s="218">
        <f t="shared" si="17"/>
        <v>8.775</v>
      </c>
      <c r="N46" s="164">
        <f>E46-квітень!E46</f>
        <v>22</v>
      </c>
      <c r="O46" s="168">
        <f>F46-квітень!F46</f>
        <v>47.77699999999999</v>
      </c>
      <c r="P46" s="167">
        <f t="shared" si="14"/>
        <v>25.776999999999987</v>
      </c>
      <c r="Q46" s="165">
        <f t="shared" si="11"/>
        <v>217.16818181818175</v>
      </c>
      <c r="R46" s="37">
        <v>22</v>
      </c>
      <c r="S46" s="37">
        <f t="shared" si="15"/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 t="shared" si="12"/>
        <v>-39.79</v>
      </c>
      <c r="H47" s="164">
        <f t="shared" si="10"/>
        <v>2.4754901960784315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 t="shared" si="14"/>
        <v>-6.799999999999997</v>
      </c>
      <c r="Q47" s="165">
        <f t="shared" si="11"/>
        <v>0</v>
      </c>
      <c r="R47" s="37">
        <v>6.8</v>
      </c>
      <c r="S47" s="37">
        <f t="shared" si="15"/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 t="shared" si="12"/>
        <v>105.13</v>
      </c>
      <c r="H48" s="164">
        <f t="shared" si="10"/>
        <v>126.28250000000001</v>
      </c>
      <c r="I48" s="165">
        <f t="shared" si="13"/>
        <v>-224.87</v>
      </c>
      <c r="J48" s="165">
        <f t="shared" si="16"/>
        <v>69.19589041095891</v>
      </c>
      <c r="K48" s="165">
        <v>76.33</v>
      </c>
      <c r="L48" s="165">
        <f t="shared" si="1"/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 t="shared" si="14"/>
        <v>51.65999999999997</v>
      </c>
      <c r="Q48" s="165">
        <f t="shared" si="11"/>
        <v>186.09999999999997</v>
      </c>
      <c r="R48" s="37">
        <v>60</v>
      </c>
      <c r="S48" s="37">
        <f t="shared" si="15"/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 t="shared" si="12"/>
        <v>1110.2700000000004</v>
      </c>
      <c r="H50" s="164">
        <f t="shared" si="10"/>
        <v>121.60058365758755</v>
      </c>
      <c r="I50" s="165">
        <f t="shared" si="13"/>
        <v>-4749.73</v>
      </c>
      <c r="J50" s="165">
        <f t="shared" si="16"/>
        <v>56.82063636363637</v>
      </c>
      <c r="K50" s="165">
        <v>4057.41</v>
      </c>
      <c r="L50" s="165">
        <f t="shared" si="1"/>
        <v>2192.8600000000006</v>
      </c>
      <c r="M50" s="218">
        <f t="shared" si="17"/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 t="shared" si="14"/>
        <v>668.7600000000002</v>
      </c>
      <c r="Q50" s="165">
        <f t="shared" si="11"/>
        <v>174.3066666666667</v>
      </c>
      <c r="R50" s="37">
        <v>1000</v>
      </c>
      <c r="S50" s="37">
        <f t="shared" si="15"/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 t="shared" si="12"/>
        <v>91.35</v>
      </c>
      <c r="H51" s="164">
        <f t="shared" si="10"/>
        <v>173.07999999999998</v>
      </c>
      <c r="I51" s="165">
        <f t="shared" si="13"/>
        <v>-93.65</v>
      </c>
      <c r="J51" s="165">
        <f t="shared" si="16"/>
        <v>69.79032258064515</v>
      </c>
      <c r="K51" s="165">
        <v>33.93</v>
      </c>
      <c r="L51" s="165">
        <f t="shared" si="1"/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 t="shared" si="14"/>
        <v>15.97999999999999</v>
      </c>
      <c r="Q51" s="165">
        <f t="shared" si="11"/>
        <v>163.91999999999996</v>
      </c>
      <c r="R51" s="37">
        <v>25</v>
      </c>
      <c r="S51" s="37">
        <f t="shared" si="15"/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 t="shared" si="12"/>
        <v>5.32</v>
      </c>
      <c r="H52" s="164">
        <f t="shared" si="10"/>
        <v>176</v>
      </c>
      <c r="I52" s="165">
        <f t="shared" si="13"/>
        <v>-7.68</v>
      </c>
      <c r="J52" s="165">
        <f t="shared" si="16"/>
        <v>61.6</v>
      </c>
      <c r="K52" s="165">
        <v>7.72</v>
      </c>
      <c r="L52" s="165">
        <f t="shared" si="1"/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 t="shared" si="14"/>
        <v>-2.039999999999999</v>
      </c>
      <c r="Q52" s="165">
        <f t="shared" si="11"/>
        <v>32.00000000000003</v>
      </c>
      <c r="R52" s="37">
        <v>3</v>
      </c>
      <c r="S52" s="37">
        <f t="shared" si="15"/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 t="shared" si="12"/>
        <v>-318.67999999999984</v>
      </c>
      <c r="H53" s="164">
        <f t="shared" si="10"/>
        <v>89.5171052631579</v>
      </c>
      <c r="I53" s="165">
        <f t="shared" si="13"/>
        <v>-4553.68</v>
      </c>
      <c r="J53" s="165">
        <f t="shared" si="16"/>
        <v>37.40646048109966</v>
      </c>
      <c r="K53" s="165">
        <v>3304.24</v>
      </c>
      <c r="L53" s="165">
        <f t="shared" si="1"/>
        <v>-582.9199999999996</v>
      </c>
      <c r="M53" s="218">
        <f t="shared" si="17"/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 t="shared" si="14"/>
        <v>-76.38200000000006</v>
      </c>
      <c r="Q53" s="165">
        <f t="shared" si="11"/>
        <v>87.4783606557377</v>
      </c>
      <c r="R53" s="37">
        <v>533.6</v>
      </c>
      <c r="S53" s="37">
        <f t="shared" si="15"/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 t="shared" si="12"/>
        <v>-141.48000000000002</v>
      </c>
      <c r="H54" s="164">
        <f t="shared" si="10"/>
        <v>70.21473684210527</v>
      </c>
      <c r="I54" s="165">
        <f t="shared" si="13"/>
        <v>-866.48</v>
      </c>
      <c r="J54" s="165">
        <f t="shared" si="16"/>
        <v>27.79333333333333</v>
      </c>
      <c r="K54" s="165">
        <v>2573.46</v>
      </c>
      <c r="L54" s="165">
        <f t="shared" si="1"/>
        <v>-2239.94</v>
      </c>
      <c r="M54" s="218">
        <f t="shared" si="17"/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 t="shared" si="14"/>
        <v>-100.74200000000002</v>
      </c>
      <c r="Q54" s="165">
        <f t="shared" si="11"/>
        <v>30.522758620689643</v>
      </c>
      <c r="R54" s="37">
        <v>70</v>
      </c>
      <c r="S54" s="37">
        <f t="shared" si="15"/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 t="shared" si="12"/>
        <v>-109.62</v>
      </c>
      <c r="H55" s="30">
        <f t="shared" si="10"/>
        <v>72.595</v>
      </c>
      <c r="I55" s="104">
        <f t="shared" si="13"/>
        <v>-707.62</v>
      </c>
      <c r="J55" s="104">
        <f t="shared" si="16"/>
        <v>29.096192384769537</v>
      </c>
      <c r="K55" s="104">
        <v>367.55</v>
      </c>
      <c r="L55" s="104">
        <f>F55-K55</f>
        <v>-77.17000000000002</v>
      </c>
      <c r="M55" s="109">
        <f t="shared" si="17"/>
        <v>0.7900421711331791</v>
      </c>
      <c r="N55" s="105">
        <f>E55-квітень!E55</f>
        <v>130</v>
      </c>
      <c r="O55" s="144">
        <f>F55-квітень!F55</f>
        <v>35</v>
      </c>
      <c r="P55" s="106">
        <f t="shared" si="14"/>
        <v>-95</v>
      </c>
      <c r="Q55" s="119">
        <f t="shared" si="11"/>
        <v>26.923076923076923</v>
      </c>
      <c r="R55" s="37"/>
      <c r="S55" s="37">
        <f t="shared" si="15"/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0.23</v>
      </c>
      <c r="L56" s="104">
        <f>F56-K56</f>
        <v>-0.08000000000000002</v>
      </c>
      <c r="M56" s="109">
        <f t="shared" si="17"/>
        <v>0.6521739130434782</v>
      </c>
      <c r="N56" s="105">
        <f>E56-квітень!E56</f>
        <v>0</v>
      </c>
      <c r="O56" s="144">
        <f>F56-квітень!F56</f>
        <v>0.03</v>
      </c>
      <c r="P56" s="106">
        <f t="shared" si="14"/>
        <v>0.03</v>
      </c>
      <c r="Q56" s="119" t="e">
        <f t="shared" si="11"/>
        <v>#DIV/0!</v>
      </c>
      <c r="R56" s="37"/>
      <c r="S56" s="37">
        <f t="shared" si="15"/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E57-квітень!E57</f>
        <v>0</v>
      </c>
      <c r="O57" s="144">
        <f>F57-квітень!F57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 t="shared" si="12"/>
        <v>-32</v>
      </c>
      <c r="H58" s="30">
        <f t="shared" si="10"/>
        <v>57.333333333333336</v>
      </c>
      <c r="I58" s="104">
        <f t="shared" si="13"/>
        <v>-157</v>
      </c>
      <c r="J58" s="104">
        <f t="shared" si="16"/>
        <v>21.5</v>
      </c>
      <c r="K58" s="104">
        <v>2205.67</v>
      </c>
      <c r="L58" s="104">
        <f>F58-K58</f>
        <v>-2162.67</v>
      </c>
      <c r="M58" s="109">
        <f t="shared" si="17"/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 t="shared" si="14"/>
        <v>-5.770000000000003</v>
      </c>
      <c r="Q58" s="119">
        <f t="shared" si="11"/>
        <v>61.53333333333332</v>
      </c>
      <c r="R58" s="37"/>
      <c r="S58" s="37">
        <f t="shared" si="15"/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E59-квітень!E59</f>
        <v>0</v>
      </c>
      <c r="O59" s="168">
        <f>F59-квітень!F59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 t="shared" si="12"/>
        <v>-222.86000000000013</v>
      </c>
      <c r="H60" s="164">
        <f t="shared" si="10"/>
        <v>94.76854460093897</v>
      </c>
      <c r="I60" s="165">
        <f t="shared" si="13"/>
        <v>-3312.86</v>
      </c>
      <c r="J60" s="165">
        <f t="shared" si="16"/>
        <v>54.92707482993197</v>
      </c>
      <c r="K60" s="165">
        <v>2320.11</v>
      </c>
      <c r="L60" s="165">
        <f aca="true" t="shared" si="18" ref="L60:L66">F60-K60</f>
        <v>1717.0299999999997</v>
      </c>
      <c r="M60" s="218">
        <f t="shared" si="17"/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 t="shared" si="14"/>
        <v>-99.07200000000012</v>
      </c>
      <c r="Q60" s="165">
        <f t="shared" si="11"/>
        <v>83.48799999999999</v>
      </c>
      <c r="R60" s="37">
        <v>450</v>
      </c>
      <c r="S60" s="37">
        <f t="shared" si="15"/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 t="shared" si="18"/>
        <v>404.92</v>
      </c>
      <c r="M62" s="218">
        <f t="shared" si="17"/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 t="shared" si="15"/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 t="shared" si="12"/>
        <v>34.64</v>
      </c>
      <c r="H64" s="164">
        <f t="shared" si="10"/>
        <v>273.20000000000005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 t="shared" si="14"/>
        <v>-10.002000000000002</v>
      </c>
      <c r="Q64" s="165"/>
      <c r="R64" s="37">
        <v>10</v>
      </c>
      <c r="S64" s="37">
        <f t="shared" si="15"/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 t="shared" si="12"/>
        <v>15.950000000000001</v>
      </c>
      <c r="H65" s="164">
        <f t="shared" si="10"/>
        <v>349.21875</v>
      </c>
      <c r="I65" s="165">
        <f t="shared" si="13"/>
        <v>7.350000000000001</v>
      </c>
      <c r="J65" s="165">
        <f t="shared" si="16"/>
        <v>149</v>
      </c>
      <c r="K65" s="165">
        <v>13.52</v>
      </c>
      <c r="L65" s="165">
        <f t="shared" si="18"/>
        <v>8.830000000000002</v>
      </c>
      <c r="M65" s="218">
        <f t="shared" si="17"/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 t="shared" si="14"/>
        <v>4.198</v>
      </c>
      <c r="Q65" s="165">
        <f t="shared" si="11"/>
        <v>422.92307692307674</v>
      </c>
      <c r="R65" s="37">
        <v>1.3</v>
      </c>
      <c r="S65" s="37">
        <f t="shared" si="15"/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E66-квітень!E66</f>
        <v>0</v>
      </c>
      <c r="O66" s="168">
        <f>F66-квітень!F66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 aca="true" t="shared" si="22" ref="P75:P89">O75-N75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 t="shared" si="19"/>
        <v>-4499.87</v>
      </c>
      <c r="H76" s="164">
        <f>F76/E76*100</f>
        <v>0.0028888888888888888</v>
      </c>
      <c r="I76" s="167">
        <f t="shared" si="20"/>
        <v>-104205.9</v>
      </c>
      <c r="J76" s="167">
        <f>F76/D76*100</f>
        <v>0.00012475285739222577</v>
      </c>
      <c r="K76" s="167">
        <v>1041.97</v>
      </c>
      <c r="L76" s="167">
        <f t="shared" si="21"/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 t="shared" si="22"/>
        <v>-4499.99</v>
      </c>
      <c r="Q76" s="167">
        <f>O76/N76*100</f>
        <v>0.00022222222222222242</v>
      </c>
      <c r="R76" s="38">
        <v>0</v>
      </c>
      <c r="S76" s="38">
        <f aca="true" t="shared" si="23" ref="S76:S87">O76-R76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 t="shared" si="19"/>
        <v>-11725.1</v>
      </c>
      <c r="H77" s="164">
        <f>F77/E77*100</f>
        <v>2.534497090606816</v>
      </c>
      <c r="I77" s="167">
        <f t="shared" si="20"/>
        <v>-53695.1</v>
      </c>
      <c r="J77" s="167">
        <f>F77/D77*100</f>
        <v>0.5646296296296296</v>
      </c>
      <c r="K77" s="167">
        <v>869.23</v>
      </c>
      <c r="L77" s="167">
        <f t="shared" si="21"/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 t="shared" si="22"/>
        <v>-3598.02</v>
      </c>
      <c r="Q77" s="167">
        <f>O77/N77*100</f>
        <v>0.05499999999999893</v>
      </c>
      <c r="R77" s="38">
        <v>200</v>
      </c>
      <c r="S77" s="38">
        <f t="shared" si="23"/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 t="shared" si="19"/>
        <v>-7764.58</v>
      </c>
      <c r="H78" s="164">
        <f>F78/E78*100</f>
        <v>37.128906882591096</v>
      </c>
      <c r="I78" s="167">
        <f t="shared" si="20"/>
        <v>-74414.58</v>
      </c>
      <c r="J78" s="167">
        <f>F78/D78*100</f>
        <v>5.804329113924051</v>
      </c>
      <c r="K78" s="167">
        <v>9113.39</v>
      </c>
      <c r="L78" s="167">
        <f t="shared" si="21"/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 t="shared" si="22"/>
        <v>-1086.0299999999997</v>
      </c>
      <c r="Q78" s="167">
        <f>O78/N78*100</f>
        <v>71.79142857142857</v>
      </c>
      <c r="R78" s="38">
        <v>1500</v>
      </c>
      <c r="S78" s="38">
        <f t="shared" si="23"/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 t="shared" si="19"/>
        <v>1</v>
      </c>
      <c r="H79" s="164">
        <f>F79/E79*100</f>
        <v>120</v>
      </c>
      <c r="I79" s="167">
        <f t="shared" si="20"/>
        <v>-6</v>
      </c>
      <c r="J79" s="167">
        <f>F79/D79*100</f>
        <v>50</v>
      </c>
      <c r="K79" s="167">
        <v>5</v>
      </c>
      <c r="L79" s="167">
        <f t="shared" si="21"/>
        <v>1</v>
      </c>
      <c r="M79" s="209"/>
      <c r="N79" s="164">
        <f>E79-квітень!E79</f>
        <v>1</v>
      </c>
      <c r="O79" s="168">
        <f>F79-квітень!F79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 t="shared" si="19"/>
        <v>-23988.55</v>
      </c>
      <c r="H80" s="186">
        <f>F80/E80*100</f>
        <v>16.95153193699152</v>
      </c>
      <c r="I80" s="187">
        <f t="shared" si="20"/>
        <v>-232321.58</v>
      </c>
      <c r="J80" s="187">
        <f>F80/D80*100</f>
        <v>2.064113760661447</v>
      </c>
      <c r="K80" s="187">
        <v>11029.59</v>
      </c>
      <c r="L80" s="187">
        <f t="shared" si="21"/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 t="shared" si="22"/>
        <v>-9184.04</v>
      </c>
      <c r="Q80" s="187">
        <f>O80/N80*100</f>
        <v>23.152539536440468</v>
      </c>
      <c r="R80" s="39">
        <f>SUM(R76:R79)</f>
        <v>1701</v>
      </c>
      <c r="S80" s="39">
        <f t="shared" si="23"/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 t="shared" si="19"/>
        <v>30.6</v>
      </c>
      <c r="H81" s="164"/>
      <c r="I81" s="167">
        <f t="shared" si="20"/>
        <v>-5.899999999999999</v>
      </c>
      <c r="J81" s="167"/>
      <c r="K81" s="167">
        <v>4.4</v>
      </c>
      <c r="L81" s="167">
        <f t="shared" si="21"/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 t="shared" si="22"/>
        <v>23.85</v>
      </c>
      <c r="Q81" s="167"/>
      <c r="R81" s="38">
        <v>1</v>
      </c>
      <c r="S81" s="38">
        <f t="shared" si="23"/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 t="shared" si="22"/>
        <v>0</v>
      </c>
      <c r="Q82" s="190"/>
      <c r="R82" s="41"/>
      <c r="S82" s="38">
        <f t="shared" si="23"/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 t="shared" si="19"/>
        <v>596.7200000000003</v>
      </c>
      <c r="H83" s="164">
        <f>F83/E83*100</f>
        <v>113.24131809608345</v>
      </c>
      <c r="I83" s="167">
        <f t="shared" si="20"/>
        <v>-3256.7799999999997</v>
      </c>
      <c r="J83" s="167">
        <f>F83/D83*100</f>
        <v>61.043301435406704</v>
      </c>
      <c r="K83" s="167">
        <v>4887.77</v>
      </c>
      <c r="L83" s="167">
        <f t="shared" si="21"/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 t="shared" si="23"/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0.69</v>
      </c>
      <c r="L84" s="167">
        <f t="shared" si="21"/>
        <v>-0.6399999999999999</v>
      </c>
      <c r="M84" s="209">
        <f aca="true" t="shared" si="24" ref="M84:M89">F84/K84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 t="shared" si="22"/>
        <v>0.020000000000000004</v>
      </c>
      <c r="Q84" s="167"/>
      <c r="R84" s="38">
        <v>0</v>
      </c>
      <c r="S84" s="38">
        <f t="shared" si="23"/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 t="shared" si="20"/>
        <v>-3262.63</v>
      </c>
      <c r="J85" s="187">
        <f>F85/D85*100</f>
        <v>61.159166666666664</v>
      </c>
      <c r="K85" s="187">
        <v>4892.86</v>
      </c>
      <c r="L85" s="187">
        <f t="shared" si="21"/>
        <v>244.51000000000022</v>
      </c>
      <c r="M85" s="220">
        <f t="shared" si="24"/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 t="shared" si="23"/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 t="shared" si="19"/>
        <v>-7.5600000000000005</v>
      </c>
      <c r="H86" s="164">
        <f>F86/E86*100</f>
        <v>50.588235294117645</v>
      </c>
      <c r="I86" s="167">
        <f t="shared" si="20"/>
        <v>-30.259999999999998</v>
      </c>
      <c r="J86" s="167">
        <f>F86/D86*100</f>
        <v>20.36842105263158</v>
      </c>
      <c r="K86" s="167">
        <v>9.19</v>
      </c>
      <c r="L86" s="167">
        <f t="shared" si="21"/>
        <v>-1.4499999999999993</v>
      </c>
      <c r="M86" s="209">
        <f t="shared" si="24"/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 t="shared" si="22"/>
        <v>-1.0600000000000005</v>
      </c>
      <c r="Q86" s="167">
        <f>O86/N86</f>
        <v>0.11666666666666704</v>
      </c>
      <c r="R86" s="38">
        <v>1.2</v>
      </c>
      <c r="S86" s="38">
        <f t="shared" si="23"/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 t="shared" si="24"/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 t="shared" si="22"/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 t="shared" si="24"/>
        <v>1.3111841836400915</v>
      </c>
      <c r="N89" s="192">
        <f>N67+N88</f>
        <v>126184.69999999998</v>
      </c>
      <c r="O89" s="192">
        <f>O67+O88</f>
        <v>118367.426</v>
      </c>
      <c r="P89" s="194">
        <f t="shared" si="22"/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03"/>
      <c r="P93" s="303"/>
    </row>
    <row r="94" spans="3:16" ht="15">
      <c r="C94" s="81">
        <v>42885</v>
      </c>
      <c r="D94" s="29">
        <v>10664.9</v>
      </c>
      <c r="F94" s="113" t="s">
        <v>58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42884</v>
      </c>
      <c r="D95" s="29">
        <v>6919.44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1135.71022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 aca="true" t="shared" si="25" ref="K103:P103">K43+K44+K46+K48+K50+K51+K52+K53+K54+K60+K64+K47</f>
        <v>22597.689999999995</v>
      </c>
      <c r="L103" s="29">
        <f t="shared" si="25"/>
        <v>2548.230000000001</v>
      </c>
      <c r="M103" s="29">
        <f t="shared" si="25"/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 t="shared" si="25"/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529507.3</v>
      </c>
      <c r="F104" s="229">
        <f t="shared" si="26"/>
        <v>532467.3300000001</v>
      </c>
      <c r="G104" s="29">
        <f t="shared" si="26"/>
        <v>2965.280000000091</v>
      </c>
      <c r="H104" s="230">
        <f>F104/E104</f>
        <v>1.0055901590025293</v>
      </c>
      <c r="I104" s="29">
        <f t="shared" si="26"/>
        <v>-825018.5199999999</v>
      </c>
      <c r="J104" s="230">
        <f>F104/D104</f>
        <v>0.3922436986879693</v>
      </c>
      <c r="K104" s="29">
        <f t="shared" si="26"/>
        <v>22597.689999999995</v>
      </c>
      <c r="L104" s="29">
        <f t="shared" si="26"/>
        <v>2548.230000000001</v>
      </c>
      <c r="M104" s="29">
        <f t="shared" si="26"/>
        <v>17.713084682263524</v>
      </c>
      <c r="N104" s="29">
        <f t="shared" si="26"/>
        <v>112090.19999999998</v>
      </c>
      <c r="O104" s="229">
        <f t="shared" si="26"/>
        <v>112706.06600000002</v>
      </c>
      <c r="P104" s="29">
        <f t="shared" si="26"/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 aca="true" t="shared" si="27" ref="E105:U105">E67-E104</f>
        <v>0</v>
      </c>
      <c r="F105" s="29">
        <f t="shared" si="27"/>
        <v>0.8399999999674037</v>
      </c>
      <c r="G105" s="29">
        <f t="shared" si="27"/>
        <v>-4.410000000095806</v>
      </c>
      <c r="H105" s="230"/>
      <c r="I105" s="29">
        <f t="shared" si="27"/>
        <v>-4.410000000149012</v>
      </c>
      <c r="J105" s="230"/>
      <c r="K105" s="29">
        <f t="shared" si="27"/>
        <v>375251.6</v>
      </c>
      <c r="L105" s="29">
        <f t="shared" si="27"/>
        <v>132070.65000000005</v>
      </c>
      <c r="M105" s="29">
        <f t="shared" si="27"/>
        <v>-16.37471816161446</v>
      </c>
      <c r="N105" s="29">
        <f t="shared" si="27"/>
        <v>0</v>
      </c>
      <c r="O105" s="29">
        <f t="shared" si="27"/>
        <v>0.34999999999126885</v>
      </c>
      <c r="P105" s="29">
        <f t="shared" si="27"/>
        <v>0.3499999999855845</v>
      </c>
      <c r="Q105" s="29"/>
      <c r="R105" s="29">
        <f t="shared" si="27"/>
        <v>109914</v>
      </c>
      <c r="S105" s="29"/>
      <c r="T105" s="29"/>
      <c r="U105" s="29">
        <f t="shared" si="27"/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 t="shared" si="29"/>
        <v>-23049.190000000177</v>
      </c>
      <c r="H124" s="277">
        <f t="shared" si="31"/>
        <v>97.96326819055847</v>
      </c>
      <c r="I124" s="279">
        <f t="shared" si="30"/>
        <v>-1789797.9700000002</v>
      </c>
      <c r="J124" s="279">
        <f t="shared" si="32"/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0" t="s">
        <v>196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6"/>
      <c r="T1" s="86"/>
      <c r="U1" s="87"/>
    </row>
    <row r="2" spans="2:21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191</v>
      </c>
      <c r="O3" s="331" t="s">
        <v>190</v>
      </c>
      <c r="P3" s="331"/>
      <c r="Q3" s="331"/>
      <c r="R3" s="331"/>
      <c r="S3" s="331"/>
      <c r="T3" s="331"/>
      <c r="U3" s="331"/>
    </row>
    <row r="4" spans="1:21" ht="22.5" customHeight="1">
      <c r="A4" s="322"/>
      <c r="B4" s="324"/>
      <c r="C4" s="325"/>
      <c r="D4" s="326"/>
      <c r="E4" s="332" t="s">
        <v>187</v>
      </c>
      <c r="F4" s="314" t="s">
        <v>33</v>
      </c>
      <c r="G4" s="305" t="s">
        <v>188</v>
      </c>
      <c r="H4" s="316" t="s">
        <v>189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197</v>
      </c>
      <c r="P4" s="305" t="s">
        <v>49</v>
      </c>
      <c r="Q4" s="30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192</v>
      </c>
      <c r="L5" s="309"/>
      <c r="M5" s="310"/>
      <c r="N5" s="317"/>
      <c r="O5" s="319"/>
      <c r="P5" s="306"/>
      <c r="Q5" s="307"/>
      <c r="R5" s="311" t="s">
        <v>193</v>
      </c>
      <c r="S5" s="312"/>
      <c r="T5" s="334" t="s">
        <v>194</v>
      </c>
      <c r="U5" s="33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 aca="true" t="shared" si="0" ref="G8:G40">F8-E8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 aca="true" t="shared" si="1" ref="L8:L54">F8-K8</f>
        <v>106181.636</v>
      </c>
      <c r="M8" s="205">
        <f aca="true" t="shared" si="2" ref="M8:M31">F8/K8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 t="shared" si="0"/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 t="shared" si="1"/>
        <v>65058.302000000025</v>
      </c>
      <c r="M9" s="206">
        <f t="shared" si="2"/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 t="shared" si="0"/>
        <v>4229.859999999986</v>
      </c>
      <c r="H10" s="30">
        <f aca="true" t="shared" si="3" ref="H10:H39">F10/E10*100</f>
        <v>102.11349282487907</v>
      </c>
      <c r="I10" s="104">
        <f aca="true" t="shared" si="4" ref="I10:I40">F10-D10</f>
        <v>-496951.14</v>
      </c>
      <c r="J10" s="104">
        <f aca="true" t="shared" si="5" ref="J10:J39">F10/D10*100</f>
        <v>29.14029746890493</v>
      </c>
      <c r="K10" s="106">
        <v>137815.99</v>
      </c>
      <c r="L10" s="106">
        <f t="shared" si="1"/>
        <v>66549.87</v>
      </c>
      <c r="M10" s="207">
        <f t="shared" si="2"/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 aca="true" t="shared" si="6" ref="P10:P40">O10-N10</f>
        <v>2426.4899999999907</v>
      </c>
      <c r="Q10" s="104">
        <f aca="true" t="shared" si="7" ref="Q10:Q27">O10/N10*100</f>
        <v>104.52500745934654</v>
      </c>
      <c r="R10" s="37"/>
      <c r="S10" s="100">
        <f aca="true" t="shared" si="8" ref="S10:S35">O10-R10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 t="shared" si="0"/>
        <v>-2270.8500000000004</v>
      </c>
      <c r="H11" s="30">
        <f t="shared" si="3"/>
        <v>84.55204081632652</v>
      </c>
      <c r="I11" s="104">
        <f t="shared" si="4"/>
        <v>-34076.85</v>
      </c>
      <c r="J11" s="104">
        <f t="shared" si="5"/>
        <v>26.725906334666494</v>
      </c>
      <c r="K11" s="106">
        <v>11487.54</v>
      </c>
      <c r="L11" s="106">
        <f t="shared" si="1"/>
        <v>941.6099999999988</v>
      </c>
      <c r="M11" s="207">
        <f t="shared" si="2"/>
        <v>1.081967940916854</v>
      </c>
      <c r="N11" s="105">
        <f>E11-березень!E11</f>
        <v>3900</v>
      </c>
      <c r="O11" s="144">
        <f>F11-березень!F11</f>
        <v>3324.67</v>
      </c>
      <c r="P11" s="106">
        <f t="shared" si="6"/>
        <v>-575.3299999999999</v>
      </c>
      <c r="Q11" s="104">
        <f t="shared" si="7"/>
        <v>85.24794871794872</v>
      </c>
      <c r="R11" s="37"/>
      <c r="S11" s="100">
        <f t="shared" si="8"/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 t="shared" si="0"/>
        <v>269.59000000000015</v>
      </c>
      <c r="H12" s="30">
        <f t="shared" si="3"/>
        <v>111.52094017094018</v>
      </c>
      <c r="I12" s="104">
        <f t="shared" si="4"/>
        <v>-5670.41</v>
      </c>
      <c r="J12" s="104">
        <f t="shared" si="5"/>
        <v>31.51678743961353</v>
      </c>
      <c r="K12" s="106">
        <v>4096.43</v>
      </c>
      <c r="L12" s="106">
        <f t="shared" si="1"/>
        <v>-1486.8400000000001</v>
      </c>
      <c r="M12" s="207">
        <f t="shared" si="2"/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 t="shared" si="6"/>
        <v>244.9000000000001</v>
      </c>
      <c r="Q12" s="104">
        <f t="shared" si="7"/>
        <v>140.8166666666667</v>
      </c>
      <c r="R12" s="37"/>
      <c r="S12" s="100">
        <f t="shared" si="8"/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 t="shared" si="0"/>
        <v>-90.67000000000007</v>
      </c>
      <c r="H13" s="30">
        <f t="shared" si="3"/>
        <v>97.25242424242424</v>
      </c>
      <c r="I13" s="104">
        <f t="shared" si="4"/>
        <v>-6180.67</v>
      </c>
      <c r="J13" s="104">
        <f t="shared" si="5"/>
        <v>34.17816826411075</v>
      </c>
      <c r="K13" s="106">
        <v>3211.48</v>
      </c>
      <c r="L13" s="106">
        <f t="shared" si="1"/>
        <v>-2.150000000000091</v>
      </c>
      <c r="M13" s="207">
        <f t="shared" si="2"/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 t="shared" si="6"/>
        <v>-199.82999999999993</v>
      </c>
      <c r="Q13" s="104">
        <f t="shared" si="7"/>
        <v>74.38076923076923</v>
      </c>
      <c r="R13" s="37"/>
      <c r="S13" s="100">
        <f t="shared" si="8"/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 t="shared" si="0"/>
        <v>98.17000000000002</v>
      </c>
      <c r="H14" s="30">
        <f t="shared" si="3"/>
        <v>125.56510416666666</v>
      </c>
      <c r="I14" s="104">
        <f t="shared" si="4"/>
        <v>-669.8299999999999</v>
      </c>
      <c r="J14" s="104">
        <f t="shared" si="5"/>
        <v>41.85503472222222</v>
      </c>
      <c r="K14" s="106">
        <v>1426.36</v>
      </c>
      <c r="L14" s="106">
        <f t="shared" si="1"/>
        <v>-944.1899999999998</v>
      </c>
      <c r="M14" s="207">
        <f t="shared" si="2"/>
        <v>0.33804228946409043</v>
      </c>
      <c r="N14" s="105">
        <f>E14-березень!E14</f>
        <v>96</v>
      </c>
      <c r="O14" s="144">
        <f>F14-березень!F14</f>
        <v>108.5</v>
      </c>
      <c r="P14" s="106">
        <f t="shared" si="6"/>
        <v>12.5</v>
      </c>
      <c r="Q14" s="104">
        <f t="shared" si="7"/>
        <v>113.02083333333333</v>
      </c>
      <c r="R14" s="37"/>
      <c r="S14" s="100">
        <f t="shared" si="8"/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 t="shared" si="0"/>
        <v>-487.36</v>
      </c>
      <c r="H15" s="157">
        <f>F15/E15*100</f>
        <v>-185.00584795321637</v>
      </c>
      <c r="I15" s="158">
        <f t="shared" si="4"/>
        <v>-867.36</v>
      </c>
      <c r="J15" s="158">
        <f>F15/D15*100</f>
        <v>-57.415607985480946</v>
      </c>
      <c r="K15" s="161">
        <v>185.84</v>
      </c>
      <c r="L15" s="161">
        <f t="shared" si="1"/>
        <v>-502.20000000000005</v>
      </c>
      <c r="M15" s="208">
        <f t="shared" si="2"/>
        <v>-1.7023245802841154</v>
      </c>
      <c r="N15" s="164">
        <f>E15-березень!E15</f>
        <v>0</v>
      </c>
      <c r="O15" s="168">
        <f>F15-березень!F15</f>
        <v>50.06</v>
      </c>
      <c r="P15" s="161">
        <f t="shared" si="6"/>
        <v>50.06</v>
      </c>
      <c r="Q15" s="158"/>
      <c r="R15" s="37">
        <v>46</v>
      </c>
      <c r="S15" s="100">
        <f t="shared" si="8"/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E16-березень!E16</f>
        <v>0</v>
      </c>
      <c r="O16" s="168">
        <f>F16-березень!F16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E17-березень!E17</f>
        <v>0</v>
      </c>
      <c r="O17" s="168">
        <f>F17-березень!F17</f>
        <v>0</v>
      </c>
      <c r="P17" s="167">
        <f t="shared" si="6"/>
        <v>0</v>
      </c>
      <c r="Q17" s="158" t="e">
        <f t="shared" si="7"/>
        <v>#DIV/0!</v>
      </c>
      <c r="R17" s="104"/>
      <c r="S17" s="100">
        <f t="shared" si="8"/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E18-березень!E18</f>
        <v>0</v>
      </c>
      <c r="O18" s="168">
        <f>F18-березень!F18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 t="shared" si="0"/>
        <v>-1795.2359999999971</v>
      </c>
      <c r="H19" s="164">
        <f t="shared" si="3"/>
        <v>95.26322955145119</v>
      </c>
      <c r="I19" s="165">
        <f t="shared" si="4"/>
        <v>-93895.236</v>
      </c>
      <c r="J19" s="165">
        <f t="shared" si="5"/>
        <v>27.77289538461539</v>
      </c>
      <c r="K19" s="161">
        <v>26018.63</v>
      </c>
      <c r="L19" s="167">
        <f t="shared" si="1"/>
        <v>10086.134000000002</v>
      </c>
      <c r="M19" s="213">
        <f t="shared" si="2"/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 t="shared" si="6"/>
        <v>-1629.0959999999977</v>
      </c>
      <c r="Q19" s="165">
        <f t="shared" si="7"/>
        <v>83.87033663366338</v>
      </c>
      <c r="R19" s="37">
        <v>8000</v>
      </c>
      <c r="S19" s="100">
        <f t="shared" si="8"/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 t="shared" si="0"/>
        <v>-1920.4199999999983</v>
      </c>
      <c r="H20" s="195">
        <f t="shared" si="3"/>
        <v>91.96476987447699</v>
      </c>
      <c r="I20" s="254">
        <f t="shared" si="4"/>
        <v>-54520.42</v>
      </c>
      <c r="J20" s="254">
        <f t="shared" si="5"/>
        <v>28.73147712418301</v>
      </c>
      <c r="K20" s="255">
        <v>26018.6</v>
      </c>
      <c r="L20" s="166">
        <f t="shared" si="1"/>
        <v>-4039.019999999997</v>
      </c>
      <c r="M20" s="256">
        <f t="shared" si="2"/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 t="shared" si="6"/>
        <v>8145.52</v>
      </c>
      <c r="Q20" s="254">
        <f t="shared" si="7"/>
        <v>-108.85948717948719</v>
      </c>
      <c r="R20" s="107">
        <v>4300</v>
      </c>
      <c r="S20" s="100">
        <f t="shared" si="8"/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 t="shared" si="0"/>
        <v>118.94000000000005</v>
      </c>
      <c r="H21" s="195"/>
      <c r="I21" s="254">
        <f t="shared" si="4"/>
        <v>-7581.0599999999995</v>
      </c>
      <c r="J21" s="254">
        <f t="shared" si="5"/>
        <v>29.14897196261682</v>
      </c>
      <c r="K21" s="255">
        <v>0</v>
      </c>
      <c r="L21" s="166">
        <f t="shared" si="1"/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 t="shared" si="6"/>
        <v>-2117.85</v>
      </c>
      <c r="Q21" s="254"/>
      <c r="R21" s="107">
        <v>700</v>
      </c>
      <c r="S21" s="100">
        <f t="shared" si="8"/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 t="shared" si="0"/>
        <v>6.239999999999782</v>
      </c>
      <c r="H22" s="195"/>
      <c r="I22" s="254">
        <f t="shared" si="4"/>
        <v>-31793.760000000002</v>
      </c>
      <c r="J22" s="254">
        <f t="shared" si="5"/>
        <v>25.715514018691586</v>
      </c>
      <c r="K22" s="255">
        <v>0</v>
      </c>
      <c r="L22" s="166">
        <f t="shared" si="1"/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 t="shared" si="6"/>
        <v>-7656.77</v>
      </c>
      <c r="Q22" s="254"/>
      <c r="R22" s="107">
        <v>3000</v>
      </c>
      <c r="S22" s="100">
        <f t="shared" si="8"/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 t="shared" si="0"/>
        <v>2332.789999999979</v>
      </c>
      <c r="H23" s="157">
        <f t="shared" si="3"/>
        <v>101.67854997067849</v>
      </c>
      <c r="I23" s="158">
        <f t="shared" si="4"/>
        <v>-259820.81</v>
      </c>
      <c r="J23" s="158">
        <f t="shared" si="5"/>
        <v>35.22779517169118</v>
      </c>
      <c r="K23" s="158">
        <v>109782.5</v>
      </c>
      <c r="L23" s="161">
        <f t="shared" si="1"/>
        <v>31526.78999999998</v>
      </c>
      <c r="M23" s="209">
        <f t="shared" si="2"/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 t="shared" si="6"/>
        <v>998.7299999999814</v>
      </c>
      <c r="Q23" s="158">
        <f t="shared" si="7"/>
        <v>102.74844515383342</v>
      </c>
      <c r="R23" s="283">
        <f>R24+R32+R33+R34+R35</f>
        <v>35614</v>
      </c>
      <c r="S23" s="100">
        <f t="shared" si="8"/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 t="shared" si="0"/>
        <v>333.1900000000023</v>
      </c>
      <c r="H24" s="157">
        <f t="shared" si="3"/>
        <v>100.49475972546841</v>
      </c>
      <c r="I24" s="158">
        <f t="shared" si="4"/>
        <v>-138944.01</v>
      </c>
      <c r="J24" s="158">
        <f t="shared" si="5"/>
        <v>32.754168259760625</v>
      </c>
      <c r="K24" s="158">
        <v>58036.24</v>
      </c>
      <c r="L24" s="161">
        <f t="shared" si="1"/>
        <v>9640.750000000007</v>
      </c>
      <c r="M24" s="209">
        <f t="shared" si="2"/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 t="shared" si="6"/>
        <v>-389.36999999999534</v>
      </c>
      <c r="Q24" s="158">
        <f t="shared" si="7"/>
        <v>98.00353791724352</v>
      </c>
      <c r="R24" s="107">
        <f>R25+R28+R29</f>
        <v>18772</v>
      </c>
      <c r="S24" s="100">
        <f t="shared" si="8"/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 t="shared" si="0"/>
        <v>416.3099999999995</v>
      </c>
      <c r="H25" s="173">
        <f t="shared" si="3"/>
        <v>104.4620578778135</v>
      </c>
      <c r="I25" s="174">
        <f t="shared" si="4"/>
        <v>-13062.69</v>
      </c>
      <c r="J25" s="174">
        <f t="shared" si="5"/>
        <v>42.73010653689333</v>
      </c>
      <c r="K25" s="175">
        <v>8413.21</v>
      </c>
      <c r="L25" s="166">
        <f t="shared" si="1"/>
        <v>1333.1000000000004</v>
      </c>
      <c r="M25" s="215">
        <f t="shared" si="2"/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 t="shared" si="6"/>
        <v>152.3699999999999</v>
      </c>
      <c r="Q25" s="174">
        <f t="shared" si="7"/>
        <v>103.47876712328767</v>
      </c>
      <c r="R25" s="107">
        <v>3710</v>
      </c>
      <c r="S25" s="100">
        <f t="shared" si="8"/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 t="shared" si="0"/>
        <v>-349.76</v>
      </c>
      <c r="H26" s="199">
        <f t="shared" si="3"/>
        <v>36.407272727272726</v>
      </c>
      <c r="I26" s="200">
        <f t="shared" si="4"/>
        <v>-1622.06</v>
      </c>
      <c r="J26" s="200">
        <f t="shared" si="5"/>
        <v>10.988311474510235</v>
      </c>
      <c r="K26" s="200">
        <v>252.55</v>
      </c>
      <c r="L26" s="200">
        <f t="shared" si="1"/>
        <v>-52.31</v>
      </c>
      <c r="M26" s="228">
        <f t="shared" si="2"/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 t="shared" si="6"/>
        <v>-256.83</v>
      </c>
      <c r="Q26" s="200">
        <f t="shared" si="7"/>
        <v>14.390000000000006</v>
      </c>
      <c r="R26" s="107"/>
      <c r="S26" s="100">
        <f t="shared" si="8"/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 t="shared" si="0"/>
        <v>766.0699999999997</v>
      </c>
      <c r="H27" s="199">
        <f t="shared" si="3"/>
        <v>108.72517084282461</v>
      </c>
      <c r="I27" s="200">
        <f t="shared" si="4"/>
        <v>-11440.630000000001</v>
      </c>
      <c r="J27" s="200">
        <f t="shared" si="5"/>
        <v>45.48628417045081</v>
      </c>
      <c r="K27" s="200">
        <v>8160.66</v>
      </c>
      <c r="L27" s="200">
        <f t="shared" si="1"/>
        <v>1385.4099999999999</v>
      </c>
      <c r="M27" s="228">
        <f t="shared" si="2"/>
        <v>1.1697669061080844</v>
      </c>
      <c r="N27" s="237">
        <f>E27-березень!E27</f>
        <v>4080</v>
      </c>
      <c r="O27" s="237">
        <f>F27-березень!F27</f>
        <v>4489.2</v>
      </c>
      <c r="P27" s="200">
        <f t="shared" si="6"/>
        <v>409.1999999999998</v>
      </c>
      <c r="Q27" s="200">
        <f t="shared" si="7"/>
        <v>110.02941176470588</v>
      </c>
      <c r="R27" s="107"/>
      <c r="S27" s="100">
        <f t="shared" si="8"/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 t="shared" si="0"/>
        <v>-19.28</v>
      </c>
      <c r="H28" s="173">
        <f t="shared" si="3"/>
        <v>84.42649434571891</v>
      </c>
      <c r="I28" s="174">
        <f t="shared" si="4"/>
        <v>-715.48</v>
      </c>
      <c r="J28" s="174">
        <f t="shared" si="5"/>
        <v>12.746341463414634</v>
      </c>
      <c r="K28" s="174">
        <v>386.58</v>
      </c>
      <c r="L28" s="174">
        <f t="shared" si="1"/>
        <v>-282.06</v>
      </c>
      <c r="M28" s="212">
        <f t="shared" si="2"/>
        <v>0.27037094521185784</v>
      </c>
      <c r="N28" s="195">
        <f>E28-березень!E28</f>
        <v>68</v>
      </c>
      <c r="O28" s="179">
        <f>F28-березень!F28</f>
        <v>73.27</v>
      </c>
      <c r="P28" s="177">
        <f t="shared" si="6"/>
        <v>5.269999999999996</v>
      </c>
      <c r="Q28" s="174">
        <f>O28/N28*100</f>
        <v>107.74999999999999</v>
      </c>
      <c r="R28" s="107">
        <v>7</v>
      </c>
      <c r="S28" s="100">
        <f t="shared" si="8"/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 t="shared" si="0"/>
        <v>-63.83999999999651</v>
      </c>
      <c r="H29" s="173">
        <f t="shared" si="3"/>
        <v>99.88972188633616</v>
      </c>
      <c r="I29" s="174">
        <f t="shared" si="4"/>
        <v>-125165.84</v>
      </c>
      <c r="J29" s="174">
        <f t="shared" si="5"/>
        <v>31.60037597272012</v>
      </c>
      <c r="K29" s="175">
        <v>49236.46</v>
      </c>
      <c r="L29" s="175">
        <f t="shared" si="1"/>
        <v>8589.700000000004</v>
      </c>
      <c r="M29" s="211">
        <f t="shared" si="2"/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 t="shared" si="6"/>
        <v>-547.0099999999948</v>
      </c>
      <c r="Q29" s="174">
        <f>O29/N29*100</f>
        <v>96.36658917303225</v>
      </c>
      <c r="R29" s="107">
        <v>15055</v>
      </c>
      <c r="S29" s="100">
        <f t="shared" si="8"/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 t="shared" si="0"/>
        <v>1874.5299999999988</v>
      </c>
      <c r="H30" s="199">
        <f t="shared" si="3"/>
        <v>110.75461847389559</v>
      </c>
      <c r="I30" s="200">
        <f t="shared" si="4"/>
        <v>-38228.47</v>
      </c>
      <c r="J30" s="200">
        <f t="shared" si="5"/>
        <v>33.55383866650444</v>
      </c>
      <c r="K30" s="200">
        <v>15205.9</v>
      </c>
      <c r="L30" s="200">
        <f t="shared" si="1"/>
        <v>4098.629999999999</v>
      </c>
      <c r="M30" s="228">
        <f t="shared" si="2"/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 t="shared" si="6"/>
        <v>269.0899999999983</v>
      </c>
      <c r="Q30" s="200">
        <f>O30/N30*100</f>
        <v>105.84978260869562</v>
      </c>
      <c r="R30" s="107"/>
      <c r="S30" s="100">
        <f t="shared" si="8"/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 t="shared" si="0"/>
        <v>-1938.3700000000026</v>
      </c>
      <c r="H31" s="199">
        <f t="shared" si="3"/>
        <v>95.209169550173</v>
      </c>
      <c r="I31" s="200">
        <f t="shared" si="4"/>
        <v>-86937.37</v>
      </c>
      <c r="J31" s="200">
        <f t="shared" si="5"/>
        <v>30.704556867183697</v>
      </c>
      <c r="K31" s="200">
        <v>34030.56</v>
      </c>
      <c r="L31" s="200">
        <f t="shared" si="1"/>
        <v>4491.07</v>
      </c>
      <c r="M31" s="228">
        <f t="shared" si="2"/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 t="shared" si="6"/>
        <v>-816.1000000000022</v>
      </c>
      <c r="Q31" s="200">
        <f>O31/N31*100</f>
        <v>92.19416547106646</v>
      </c>
      <c r="R31" s="107"/>
      <c r="S31" s="100">
        <f t="shared" si="8"/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 t="shared" si="0"/>
        <v>25.409999999999997</v>
      </c>
      <c r="H33" s="157">
        <f t="shared" si="3"/>
        <v>194.11111111111111</v>
      </c>
      <c r="I33" s="158">
        <f t="shared" si="4"/>
        <v>-62.59</v>
      </c>
      <c r="J33" s="158">
        <f t="shared" si="5"/>
        <v>45.57391304347826</v>
      </c>
      <c r="K33" s="158">
        <v>32.71</v>
      </c>
      <c r="L33" s="158">
        <f t="shared" si="1"/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 t="shared" si="6"/>
        <v>7.209999999999994</v>
      </c>
      <c r="Q33" s="158">
        <f>O33/N33*100</f>
        <v>190.12499999999991</v>
      </c>
      <c r="R33" s="107">
        <v>15</v>
      </c>
      <c r="S33" s="100">
        <f t="shared" si="8"/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 t="shared" si="0"/>
        <v>-27.35</v>
      </c>
      <c r="H34" s="157"/>
      <c r="I34" s="158">
        <f t="shared" si="4"/>
        <v>-27.35</v>
      </c>
      <c r="J34" s="158"/>
      <c r="K34" s="158">
        <v>-107.01</v>
      </c>
      <c r="L34" s="158">
        <f t="shared" si="1"/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 t="shared" si="6"/>
        <v>-2.530000000000001</v>
      </c>
      <c r="Q34" s="158"/>
      <c r="R34" s="107"/>
      <c r="S34" s="100">
        <f t="shared" si="8"/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 t="shared" si="0"/>
        <v>2001.3399999999965</v>
      </c>
      <c r="H35" s="164">
        <f t="shared" si="3"/>
        <v>102.79494509515304</v>
      </c>
      <c r="I35" s="165">
        <f t="shared" si="4"/>
        <v>-120787.06000000001</v>
      </c>
      <c r="J35" s="165">
        <f t="shared" si="5"/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 t="shared" si="6"/>
        <v>1383.419999999991</v>
      </c>
      <c r="Q35" s="165">
        <f>O35/N35*100</f>
        <v>108.22142984489209</v>
      </c>
      <c r="R35" s="107">
        <v>16827</v>
      </c>
      <c r="S35" s="100">
        <f t="shared" si="8"/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0.18</v>
      </c>
      <c r="L36" s="127">
        <f t="shared" si="1"/>
        <v>-0.18</v>
      </c>
      <c r="M36" s="216">
        <f aca="true" t="shared" si="9" ref="M36:M42">F36/K36</f>
        <v>0</v>
      </c>
      <c r="N36" s="105">
        <f>E36-березень!E36</f>
        <v>0</v>
      </c>
      <c r="O36" s="144">
        <f>F36-березень!F36</f>
        <v>0</v>
      </c>
      <c r="P36" s="106">
        <f t="shared" si="6"/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 t="shared" si="0"/>
        <v>778.4200000000001</v>
      </c>
      <c r="H37" s="105">
        <f t="shared" si="3"/>
        <v>105.88819969742813</v>
      </c>
      <c r="I37" s="104">
        <f t="shared" si="4"/>
        <v>-27001.58</v>
      </c>
      <c r="J37" s="104">
        <f t="shared" si="5"/>
        <v>34.142487804878044</v>
      </c>
      <c r="K37" s="127">
        <v>12484.76</v>
      </c>
      <c r="L37" s="127">
        <f t="shared" si="1"/>
        <v>1513.6599999999999</v>
      </c>
      <c r="M37" s="216">
        <f t="shared" si="9"/>
        <v>1.1212406165597095</v>
      </c>
      <c r="N37" s="105">
        <f>E37-березень!E37</f>
        <v>2820</v>
      </c>
      <c r="O37" s="144">
        <f>F37-березень!F37</f>
        <v>3050.5</v>
      </c>
      <c r="P37" s="106">
        <f t="shared" si="6"/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 t="shared" si="0"/>
        <v>1225.5199999999968</v>
      </c>
      <c r="H38" s="105">
        <f t="shared" si="3"/>
        <v>102.09993145990404</v>
      </c>
      <c r="I38" s="104">
        <f t="shared" si="4"/>
        <v>-93753.58000000002</v>
      </c>
      <c r="J38" s="104">
        <f t="shared" si="5"/>
        <v>38.85866031560117</v>
      </c>
      <c r="K38" s="127">
        <v>39321.61</v>
      </c>
      <c r="L38" s="127">
        <f t="shared" si="1"/>
        <v>20263.909999999996</v>
      </c>
      <c r="M38" s="216">
        <f t="shared" si="9"/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 t="shared" si="6"/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E39-березень!E39</f>
        <v>7</v>
      </c>
      <c r="O39" s="144">
        <f>F39-березень!F39</f>
        <v>6.98</v>
      </c>
      <c r="P39" s="106">
        <f t="shared" si="6"/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E40-березень!E40</f>
        <v>0</v>
      </c>
      <c r="O40" s="160">
        <f>F40-березень!F40</f>
        <v>0</v>
      </c>
      <c r="P40" s="36">
        <f t="shared" si="6"/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 t="shared" si="1"/>
        <v>2677.2660000000033</v>
      </c>
      <c r="M41" s="205">
        <f t="shared" si="9"/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 aca="true" t="shared" si="10" ref="H42:H65">F42/E42*100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 t="shared" si="1"/>
        <v>-276.61</v>
      </c>
      <c r="M42" s="218">
        <f t="shared" si="9"/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 aca="true" t="shared" si="11" ref="Q42:Q65">O42/N42*100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 aca="true" t="shared" si="12" ref="G43:G66">F43-E43</f>
        <v>-293.1369999999997</v>
      </c>
      <c r="H43" s="164">
        <f t="shared" si="10"/>
        <v>96.38102469135804</v>
      </c>
      <c r="I43" s="165">
        <f aca="true" t="shared" si="13" ref="I43:I66">F43-D43</f>
        <v>-22193.137</v>
      </c>
      <c r="J43" s="165">
        <f>F43/D43*100</f>
        <v>26.022876666666665</v>
      </c>
      <c r="K43" s="165">
        <v>6753.41</v>
      </c>
      <c r="L43" s="165">
        <f t="shared" si="1"/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 aca="true" t="shared" si="14" ref="P43:P66">O43-N43</f>
        <v>305.02300000000014</v>
      </c>
      <c r="Q43" s="165">
        <f t="shared" si="11"/>
        <v>110.89367857142858</v>
      </c>
      <c r="R43" s="37">
        <v>3105</v>
      </c>
      <c r="S43" s="37">
        <f aca="true" t="shared" si="15" ref="S43:S66">O43-R43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 t="shared" si="12"/>
        <v>62.80200000000001</v>
      </c>
      <c r="H44" s="164">
        <f>F44/E44*100</f>
        <v>414.01000000000005</v>
      </c>
      <c r="I44" s="165">
        <f t="shared" si="13"/>
        <v>42.80200000000001</v>
      </c>
      <c r="J44" s="165">
        <f aca="true" t="shared" si="16" ref="J44:J65">F44/D44*100</f>
        <v>207.00500000000002</v>
      </c>
      <c r="K44" s="165">
        <v>27.51</v>
      </c>
      <c r="L44" s="165">
        <f t="shared" si="1"/>
        <v>55.292</v>
      </c>
      <c r="M44" s="218">
        <f aca="true" t="shared" si="17" ref="M44:M66">F44/K44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 t="shared" si="14"/>
        <v>9.722000000000008</v>
      </c>
      <c r="Q44" s="165">
        <f t="shared" si="11"/>
        <v>1072.2000000000007</v>
      </c>
      <c r="R44" s="37">
        <v>1</v>
      </c>
      <c r="S44" s="37">
        <f t="shared" si="15"/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E45-березень!E45</f>
        <v>0</v>
      </c>
      <c r="O45" s="168">
        <f>F45-березень!F45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 t="shared" si="12"/>
        <v>310.483</v>
      </c>
      <c r="H46" s="164">
        <f t="shared" si="10"/>
        <v>469.6226190476191</v>
      </c>
      <c r="I46" s="165">
        <f t="shared" si="13"/>
        <v>134.483</v>
      </c>
      <c r="J46" s="165">
        <f t="shared" si="16"/>
        <v>151.72423076923076</v>
      </c>
      <c r="K46" s="165">
        <v>34.2</v>
      </c>
      <c r="L46" s="165">
        <f t="shared" si="1"/>
        <v>360.283</v>
      </c>
      <c r="M46" s="218">
        <f t="shared" si="17"/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 t="shared" si="14"/>
        <v>94.72300000000001</v>
      </c>
      <c r="Q46" s="165">
        <f t="shared" si="11"/>
        <v>530.559090909091</v>
      </c>
      <c r="R46" s="37">
        <v>22</v>
      </c>
      <c r="S46" s="37">
        <f t="shared" si="15"/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 t="shared" si="12"/>
        <v>-32.99</v>
      </c>
      <c r="H47" s="164">
        <f t="shared" si="10"/>
        <v>2.9705882352941178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 t="shared" si="14"/>
        <v>-6.300000000000001</v>
      </c>
      <c r="Q47" s="165">
        <f t="shared" si="11"/>
        <v>7.352941176470587</v>
      </c>
      <c r="R47" s="37">
        <v>0</v>
      </c>
      <c r="S47" s="37">
        <f t="shared" si="15"/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 t="shared" si="12"/>
        <v>53.47000000000003</v>
      </c>
      <c r="H48" s="164">
        <f t="shared" si="10"/>
        <v>115.72647058823532</v>
      </c>
      <c r="I48" s="165">
        <f t="shared" si="13"/>
        <v>-336.53</v>
      </c>
      <c r="J48" s="165">
        <f t="shared" si="16"/>
        <v>53.900000000000006</v>
      </c>
      <c r="K48" s="165">
        <v>0</v>
      </c>
      <c r="L48" s="165">
        <f t="shared" si="1"/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 t="shared" si="14"/>
        <v>32.52000000000004</v>
      </c>
      <c r="Q48" s="165">
        <f t="shared" si="11"/>
        <v>154.20000000000007</v>
      </c>
      <c r="R48" s="37">
        <v>100</v>
      </c>
      <c r="S48" s="37">
        <f t="shared" si="15"/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 t="shared" si="12"/>
        <v>441.5100000000002</v>
      </c>
      <c r="H50" s="164">
        <f t="shared" si="10"/>
        <v>110.41297169811321</v>
      </c>
      <c r="I50" s="165">
        <f t="shared" si="13"/>
        <v>-6318.49</v>
      </c>
      <c r="J50" s="165">
        <f t="shared" si="16"/>
        <v>42.55918181818182</v>
      </c>
      <c r="K50" s="165">
        <v>3201.41</v>
      </c>
      <c r="L50" s="165">
        <f t="shared" si="1"/>
        <v>1480.1000000000004</v>
      </c>
      <c r="M50" s="218">
        <f t="shared" si="17"/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 t="shared" si="14"/>
        <v>196.57000000000016</v>
      </c>
      <c r="Q50" s="165">
        <f t="shared" si="11"/>
        <v>121.84111111111113</v>
      </c>
      <c r="R50" s="37">
        <v>1200</v>
      </c>
      <c r="S50" s="37">
        <f t="shared" si="15"/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 t="shared" si="12"/>
        <v>75.37</v>
      </c>
      <c r="H51" s="164">
        <f t="shared" si="10"/>
        <v>175.37</v>
      </c>
      <c r="I51" s="165">
        <f t="shared" si="13"/>
        <v>-134.63</v>
      </c>
      <c r="J51" s="165">
        <f t="shared" si="16"/>
        <v>56.57096774193548</v>
      </c>
      <c r="K51" s="165">
        <v>1.37</v>
      </c>
      <c r="L51" s="165">
        <f t="shared" si="1"/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 t="shared" si="14"/>
        <v>15.170000000000016</v>
      </c>
      <c r="Q51" s="165">
        <f t="shared" si="11"/>
        <v>160.68000000000006</v>
      </c>
      <c r="R51" s="37">
        <v>45</v>
      </c>
      <c r="S51" s="37">
        <f t="shared" si="15"/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 t="shared" si="12"/>
        <v>7.359999999999999</v>
      </c>
      <c r="H52" s="164">
        <f t="shared" si="10"/>
        <v>284</v>
      </c>
      <c r="I52" s="165">
        <f t="shared" si="13"/>
        <v>-8.64</v>
      </c>
      <c r="J52" s="165">
        <f t="shared" si="16"/>
        <v>56.8</v>
      </c>
      <c r="K52" s="165">
        <v>0</v>
      </c>
      <c r="L52" s="165">
        <f t="shared" si="1"/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 t="shared" si="14"/>
        <v>6.359999999999999</v>
      </c>
      <c r="Q52" s="165">
        <f t="shared" si="11"/>
        <v>736</v>
      </c>
      <c r="R52" s="37">
        <v>1</v>
      </c>
      <c r="S52" s="37">
        <f t="shared" si="15"/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 t="shared" si="12"/>
        <v>-242.29799999999977</v>
      </c>
      <c r="H53" s="164">
        <f t="shared" si="10"/>
        <v>90.0288888888889</v>
      </c>
      <c r="I53" s="165">
        <f t="shared" si="13"/>
        <v>-5087.298</v>
      </c>
      <c r="J53" s="165">
        <f t="shared" si="16"/>
        <v>30.071505154639176</v>
      </c>
      <c r="K53" s="165">
        <v>2631.35</v>
      </c>
      <c r="L53" s="165">
        <f t="shared" si="1"/>
        <v>-443.6479999999997</v>
      </c>
      <c r="M53" s="218">
        <f t="shared" si="17"/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 t="shared" si="14"/>
        <v>-47.38799999999969</v>
      </c>
      <c r="Q53" s="165">
        <f t="shared" si="11"/>
        <v>92.23147540983612</v>
      </c>
      <c r="R53" s="37">
        <v>562.6</v>
      </c>
      <c r="S53" s="37">
        <f t="shared" si="15"/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 t="shared" si="12"/>
        <v>-40.738</v>
      </c>
      <c r="H54" s="164">
        <f t="shared" si="10"/>
        <v>87.65515151515152</v>
      </c>
      <c r="I54" s="165">
        <f t="shared" si="13"/>
        <v>-910.738</v>
      </c>
      <c r="J54" s="165">
        <f t="shared" si="16"/>
        <v>24.105166666666666</v>
      </c>
      <c r="K54" s="165">
        <v>1998.74</v>
      </c>
      <c r="L54" s="165">
        <f t="shared" si="1"/>
        <v>-1709.478</v>
      </c>
      <c r="M54" s="218">
        <f t="shared" si="17"/>
        <v>0.14472217497023124</v>
      </c>
      <c r="N54" s="164">
        <f>E54-березень!E54</f>
        <v>95</v>
      </c>
      <c r="O54" s="168">
        <f>F54-березень!F54</f>
        <v>43.262</v>
      </c>
      <c r="P54" s="167">
        <f t="shared" si="14"/>
        <v>-51.738</v>
      </c>
      <c r="Q54" s="165">
        <f t="shared" si="11"/>
        <v>45.53894736842105</v>
      </c>
      <c r="R54" s="37">
        <v>95</v>
      </c>
      <c r="S54" s="37">
        <f t="shared" si="15"/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 t="shared" si="12"/>
        <v>-14.620000000000005</v>
      </c>
      <c r="H55" s="30">
        <f t="shared" si="10"/>
        <v>94.58518518518518</v>
      </c>
      <c r="I55" s="104">
        <f t="shared" si="13"/>
        <v>-742.62</v>
      </c>
      <c r="J55" s="104">
        <f t="shared" si="16"/>
        <v>25.589178356713425</v>
      </c>
      <c r="K55" s="104">
        <v>235.42</v>
      </c>
      <c r="L55" s="104">
        <f>F55-K55</f>
        <v>19.960000000000008</v>
      </c>
      <c r="M55" s="109">
        <f t="shared" si="17"/>
        <v>1.0847846402174837</v>
      </c>
      <c r="N55" s="105">
        <f>E55-березень!E55</f>
        <v>80</v>
      </c>
      <c r="O55" s="144">
        <f>F55-березень!F55</f>
        <v>34.44</v>
      </c>
      <c r="P55" s="106">
        <f t="shared" si="14"/>
        <v>-45.56</v>
      </c>
      <c r="Q55" s="119">
        <f t="shared" si="11"/>
        <v>43.05</v>
      </c>
      <c r="R55" s="37"/>
      <c r="S55" s="37">
        <f t="shared" si="15"/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 t="shared" si="12"/>
        <v>0.12</v>
      </c>
      <c r="H56" s="30" t="e">
        <f t="shared" si="10"/>
        <v>#DIV/0!</v>
      </c>
      <c r="I56" s="104">
        <f t="shared" si="13"/>
        <v>-0.88</v>
      </c>
      <c r="J56" s="104">
        <f t="shared" si="16"/>
        <v>12</v>
      </c>
      <c r="K56" s="104">
        <v>0.15</v>
      </c>
      <c r="L56" s="104">
        <f>F56-K56</f>
        <v>-0.03</v>
      </c>
      <c r="M56" s="109">
        <f t="shared" si="17"/>
        <v>0.8</v>
      </c>
      <c r="N56" s="105">
        <f>E56-березень!E56</f>
        <v>0</v>
      </c>
      <c r="O56" s="144">
        <f>F56-березень!F56</f>
        <v>0.01999999999999999</v>
      </c>
      <c r="P56" s="106">
        <f t="shared" si="14"/>
        <v>0.01999999999999999</v>
      </c>
      <c r="Q56" s="119" t="e">
        <f t="shared" si="11"/>
        <v>#DIV/0!</v>
      </c>
      <c r="R56" s="37"/>
      <c r="S56" s="37">
        <f t="shared" si="15"/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</v>
      </c>
      <c r="L57" s="104">
        <f>F57-K57</f>
        <v>0</v>
      </c>
      <c r="M57" s="109" t="e">
        <f t="shared" si="17"/>
        <v>#DIV/0!</v>
      </c>
      <c r="N57" s="105">
        <f>E57-березень!E57</f>
        <v>0</v>
      </c>
      <c r="O57" s="144">
        <f>F57-березень!F57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 t="shared" si="12"/>
        <v>-26.229999999999997</v>
      </c>
      <c r="H58" s="30">
        <f t="shared" si="10"/>
        <v>56.28333333333334</v>
      </c>
      <c r="I58" s="104">
        <f t="shared" si="13"/>
        <v>-166.23</v>
      </c>
      <c r="J58" s="104">
        <f t="shared" si="16"/>
        <v>16.885</v>
      </c>
      <c r="K58" s="104">
        <v>1763.16</v>
      </c>
      <c r="L58" s="104">
        <f>F58-K58</f>
        <v>-1729.39</v>
      </c>
      <c r="M58" s="109">
        <f t="shared" si="17"/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 t="shared" si="14"/>
        <v>-6.189999999999998</v>
      </c>
      <c r="Q58" s="119">
        <f t="shared" si="11"/>
        <v>58.73333333333335</v>
      </c>
      <c r="R58" s="37"/>
      <c r="S58" s="37">
        <f t="shared" si="15"/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E59-березень!E59</f>
        <v>0</v>
      </c>
      <c r="O59" s="168">
        <f>F59-березень!F59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 t="shared" si="12"/>
        <v>-123.78800000000001</v>
      </c>
      <c r="H60" s="164">
        <f t="shared" si="10"/>
        <v>96.61781420765027</v>
      </c>
      <c r="I60" s="165">
        <f t="shared" si="13"/>
        <v>-3813.788</v>
      </c>
      <c r="J60" s="165">
        <f t="shared" si="16"/>
        <v>48.11172789115646</v>
      </c>
      <c r="K60" s="165">
        <v>1974.46</v>
      </c>
      <c r="L60" s="165">
        <f aca="true" t="shared" si="18" ref="L60:L66">F60-K60</f>
        <v>1561.752</v>
      </c>
      <c r="M60" s="218">
        <f t="shared" si="17"/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 t="shared" si="14"/>
        <v>-139.51800000000003</v>
      </c>
      <c r="Q60" s="165">
        <f t="shared" si="11"/>
        <v>76.747</v>
      </c>
      <c r="R60" s="37">
        <v>450</v>
      </c>
      <c r="S60" s="37">
        <f t="shared" si="15"/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 t="shared" si="18"/>
        <v>252.59000000000003</v>
      </c>
      <c r="M62" s="218">
        <f t="shared" si="17"/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 t="shared" si="15"/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 t="shared" si="12"/>
        <v>44.642</v>
      </c>
      <c r="H64" s="164">
        <f t="shared" si="10"/>
        <v>546.42</v>
      </c>
      <c r="I64" s="165">
        <f t="shared" si="13"/>
        <v>-105.358</v>
      </c>
      <c r="J64" s="165">
        <f t="shared" si="16"/>
        <v>34.15125</v>
      </c>
      <c r="K64" s="165">
        <v>33.09</v>
      </c>
      <c r="L64" s="165">
        <f t="shared" si="18"/>
        <v>21.552</v>
      </c>
      <c r="M64" s="218">
        <f t="shared" si="17"/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 t="shared" si="14"/>
        <v>21.752000000000002</v>
      </c>
      <c r="Q64" s="165"/>
      <c r="R64" s="37">
        <v>0</v>
      </c>
      <c r="S64" s="37">
        <f t="shared" si="15"/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 t="shared" si="12"/>
        <v>11.752</v>
      </c>
      <c r="H65" s="164">
        <f t="shared" si="10"/>
        <v>330.43137254901967</v>
      </c>
      <c r="I65" s="165">
        <f t="shared" si="13"/>
        <v>1.8520000000000003</v>
      </c>
      <c r="J65" s="165">
        <f t="shared" si="16"/>
        <v>112.34666666666666</v>
      </c>
      <c r="K65" s="165">
        <v>13.52</v>
      </c>
      <c r="L65" s="165">
        <f t="shared" si="18"/>
        <v>3.3320000000000007</v>
      </c>
      <c r="M65" s="218">
        <f t="shared" si="17"/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 t="shared" si="14"/>
        <v>1.1820000000000013</v>
      </c>
      <c r="Q65" s="165">
        <f t="shared" si="11"/>
        <v>184.42857142857153</v>
      </c>
      <c r="R65" s="37">
        <v>3.2</v>
      </c>
      <c r="S65" s="37">
        <f t="shared" si="15"/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 t="shared" si="14"/>
        <v>0.08000000000000007</v>
      </c>
      <c r="Q66" s="165"/>
      <c r="R66" s="37">
        <v>0</v>
      </c>
      <c r="S66" s="37">
        <f t="shared" si="15"/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6">F75-K75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 aca="true" t="shared" si="22" ref="P75:P89">O75-N75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 t="shared" si="19"/>
        <v>0.12</v>
      </c>
      <c r="H76" s="164"/>
      <c r="I76" s="167">
        <f t="shared" si="20"/>
        <v>-104205.91</v>
      </c>
      <c r="J76" s="167">
        <f>F76/D76*100</f>
        <v>0.00011515648374666994</v>
      </c>
      <c r="K76" s="167">
        <v>300.88</v>
      </c>
      <c r="L76" s="167">
        <f t="shared" si="21"/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 t="shared" si="22"/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 t="shared" si="19"/>
        <v>-8127.08</v>
      </c>
      <c r="H77" s="164">
        <f>F77/E77*100</f>
        <v>3.5933570581257417</v>
      </c>
      <c r="I77" s="167">
        <f t="shared" si="20"/>
        <v>-53697.08</v>
      </c>
      <c r="J77" s="167">
        <f>F77/D77*100</f>
        <v>0.560962962962963</v>
      </c>
      <c r="K77" s="167">
        <v>472.26</v>
      </c>
      <c r="L77" s="167">
        <f t="shared" si="21"/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 t="shared" si="22"/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 t="shared" si="19"/>
        <v>-6678.55</v>
      </c>
      <c r="H78" s="164">
        <f>F78/E78*100</f>
        <v>21.428823529411765</v>
      </c>
      <c r="I78" s="167">
        <f t="shared" si="20"/>
        <v>-77178.55</v>
      </c>
      <c r="J78" s="167">
        <f>F78/D78*100</f>
        <v>2.3056329113924052</v>
      </c>
      <c r="K78" s="167">
        <v>8810.08</v>
      </c>
      <c r="L78" s="167">
        <f t="shared" si="21"/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 t="shared" si="22"/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 t="shared" si="19"/>
        <v>1</v>
      </c>
      <c r="H79" s="164">
        <f>F79/E79*100</f>
        <v>125</v>
      </c>
      <c r="I79" s="167">
        <f t="shared" si="20"/>
        <v>-7</v>
      </c>
      <c r="J79" s="167">
        <f>F79/D79*100</f>
        <v>41.66666666666667</v>
      </c>
      <c r="K79" s="167">
        <v>4</v>
      </c>
      <c r="L79" s="167">
        <f t="shared" si="21"/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 t="shared" si="22"/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 t="shared" si="19"/>
        <v>-14804.51</v>
      </c>
      <c r="H80" s="186">
        <f>F80/E80*100</f>
        <v>12.57523325853313</v>
      </c>
      <c r="I80" s="187">
        <f t="shared" si="20"/>
        <v>-235088.54</v>
      </c>
      <c r="J80" s="187">
        <f>F80/D80*100</f>
        <v>0.8976931475233988</v>
      </c>
      <c r="K80" s="187">
        <v>9587.22</v>
      </c>
      <c r="L80" s="187">
        <f t="shared" si="21"/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 t="shared" si="22"/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 t="shared" si="19"/>
        <v>6.75</v>
      </c>
      <c r="H81" s="164"/>
      <c r="I81" s="167">
        <f t="shared" si="20"/>
        <v>-30.75</v>
      </c>
      <c r="J81" s="167"/>
      <c r="K81" s="167">
        <v>3.06</v>
      </c>
      <c r="L81" s="167">
        <f t="shared" si="21"/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 t="shared" si="22"/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 t="shared" si="22"/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 t="shared" si="19"/>
        <v>-133.65999999999985</v>
      </c>
      <c r="H83" s="164">
        <f>F83/E83*100</f>
        <v>94.3488922712667</v>
      </c>
      <c r="I83" s="167">
        <f t="shared" si="20"/>
        <v>-6128.46</v>
      </c>
      <c r="J83" s="167">
        <f>F83/D83*100</f>
        <v>26.693062200956934</v>
      </c>
      <c r="K83" s="167">
        <v>2035.53</v>
      </c>
      <c r="L83" s="167">
        <f t="shared" si="21"/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9"/>
        <v>0.03</v>
      </c>
      <c r="H84" s="164"/>
      <c r="I84" s="167">
        <f t="shared" si="20"/>
        <v>0.03</v>
      </c>
      <c r="J84" s="167"/>
      <c r="K84" s="167">
        <v>0.52</v>
      </c>
      <c r="L84" s="167">
        <f t="shared" si="21"/>
        <v>-0.49</v>
      </c>
      <c r="M84" s="209">
        <f aca="true" t="shared" si="23" ref="M84:M89">F84/K84</f>
        <v>0.05769230769230769</v>
      </c>
      <c r="N84" s="164">
        <f>E84-березень!E84</f>
        <v>0</v>
      </c>
      <c r="O84" s="168">
        <f>F84-березень!F84</f>
        <v>0</v>
      </c>
      <c r="P84" s="167">
        <f t="shared" si="22"/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 t="shared" si="20"/>
        <v>-6159.18</v>
      </c>
      <c r="J85" s="187">
        <f>F85/D85*100</f>
        <v>26.676428571428573</v>
      </c>
      <c r="K85" s="187">
        <v>2039.11</v>
      </c>
      <c r="L85" s="187">
        <f t="shared" si="21"/>
        <v>201.71000000000026</v>
      </c>
      <c r="M85" s="220">
        <f t="shared" si="23"/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 t="shared" si="19"/>
        <v>-6.5</v>
      </c>
      <c r="H86" s="164">
        <f>F86/E86*100</f>
        <v>53.90070921985816</v>
      </c>
      <c r="I86" s="167">
        <f t="shared" si="20"/>
        <v>-30.4</v>
      </c>
      <c r="J86" s="167">
        <f>F86/D86*100</f>
        <v>20</v>
      </c>
      <c r="K86" s="167">
        <v>9.19</v>
      </c>
      <c r="L86" s="167">
        <f t="shared" si="21"/>
        <v>-1.5899999999999999</v>
      </c>
      <c r="M86" s="209">
        <f t="shared" si="23"/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 t="shared" si="22"/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 t="shared" si="22"/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 t="shared" si="23"/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 t="shared" si="22"/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 t="shared" si="23"/>
        <v>1.3150890221823077</v>
      </c>
      <c r="N89" s="192">
        <f>N67+N88</f>
        <v>118023.3</v>
      </c>
      <c r="O89" s="192">
        <f>O67+O88</f>
        <v>113092.23400000001</v>
      </c>
      <c r="P89" s="194">
        <f t="shared" si="22"/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03"/>
      <c r="P93" s="303"/>
    </row>
    <row r="94" spans="3:16" ht="15">
      <c r="C94" s="81">
        <v>42852</v>
      </c>
      <c r="D94" s="29">
        <v>13266.8</v>
      </c>
      <c r="F94" s="113" t="s">
        <v>58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42851</v>
      </c>
      <c r="D95" s="29">
        <v>6064.2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102.57358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 aca="true" t="shared" si="24" ref="K103:P103">K43+K44+K46+K48+K50+K51+K52+K53+K54+K60+K64+K47</f>
        <v>16662.34</v>
      </c>
      <c r="L103" s="29">
        <f t="shared" si="24"/>
        <v>2952.3460000000014</v>
      </c>
      <c r="M103" s="29">
        <f t="shared" si="24"/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 t="shared" si="24"/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5" ref="E104:P104">SUM(E102:E103)</f>
        <v>417417.1</v>
      </c>
      <c r="F104" s="229">
        <f t="shared" si="25"/>
        <v>419761.754</v>
      </c>
      <c r="G104" s="29">
        <f t="shared" si="25"/>
        <v>2349.9040000000523</v>
      </c>
      <c r="H104" s="230">
        <f>F104/E104</f>
        <v>1.005617053062752</v>
      </c>
      <c r="I104" s="29">
        <f t="shared" si="25"/>
        <v>-937724.0960000001</v>
      </c>
      <c r="J104" s="230">
        <f>F104/D104</f>
        <v>0.3092187889850622</v>
      </c>
      <c r="K104" s="29">
        <f t="shared" si="25"/>
        <v>16662.34</v>
      </c>
      <c r="L104" s="29">
        <f t="shared" si="25"/>
        <v>2952.3460000000014</v>
      </c>
      <c r="M104" s="29">
        <f t="shared" si="25"/>
        <v>20.42521813055033</v>
      </c>
      <c r="N104" s="29">
        <f t="shared" si="25"/>
        <v>110560.2</v>
      </c>
      <c r="O104" s="229">
        <f t="shared" si="25"/>
        <v>112332.75400000002</v>
      </c>
      <c r="P104" s="29">
        <f t="shared" si="25"/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 aca="true" t="shared" si="26" ref="E105:U105">E67-E104</f>
        <v>0</v>
      </c>
      <c r="F105" s="29">
        <f t="shared" si="26"/>
        <v>0</v>
      </c>
      <c r="G105" s="29">
        <f t="shared" si="26"/>
        <v>-5.250000000013642</v>
      </c>
      <c r="H105" s="230"/>
      <c r="I105" s="29">
        <f t="shared" si="26"/>
        <v>-5.25</v>
      </c>
      <c r="J105" s="230"/>
      <c r="K105" s="29">
        <f t="shared" si="26"/>
        <v>294242.8</v>
      </c>
      <c r="L105" s="29">
        <f t="shared" si="26"/>
        <v>105904.268</v>
      </c>
      <c r="M105" s="29">
        <f t="shared" si="26"/>
        <v>-19.075090068981453</v>
      </c>
      <c r="N105" s="29">
        <f t="shared" si="26"/>
        <v>0</v>
      </c>
      <c r="O105" s="29">
        <f t="shared" si="26"/>
        <v>0</v>
      </c>
      <c r="P105" s="29">
        <f t="shared" si="26"/>
        <v>0.07999999999447027</v>
      </c>
      <c r="Q105" s="29"/>
      <c r="R105" s="29">
        <f t="shared" si="26"/>
        <v>110624.8</v>
      </c>
      <c r="S105" s="29"/>
      <c r="T105" s="29"/>
      <c r="U105" s="29">
        <f t="shared" si="26"/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 aca="true" t="shared" si="27" ref="D113:F114">D114</f>
        <v>1222868.6900000002</v>
      </c>
      <c r="E113" s="244">
        <f t="shared" si="27"/>
        <v>550655.6</v>
      </c>
      <c r="F113" s="244">
        <f t="shared" si="27"/>
        <v>545829.08</v>
      </c>
      <c r="G113" s="244">
        <f aca="true" t="shared" si="28" ref="G113:G124">F113-E113</f>
        <v>-4826.520000000019</v>
      </c>
      <c r="H113" s="244">
        <f>F113/E113*100</f>
        <v>99.12349570221387</v>
      </c>
      <c r="I113" s="36">
        <f aca="true" t="shared" si="29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 t="shared" si="27"/>
        <v>1222868.6900000002</v>
      </c>
      <c r="E114" s="244">
        <f t="shared" si="27"/>
        <v>550655.6</v>
      </c>
      <c r="F114" s="244">
        <f t="shared" si="27"/>
        <v>545829.08</v>
      </c>
      <c r="G114" s="244">
        <f t="shared" si="28"/>
        <v>-4826.520000000019</v>
      </c>
      <c r="H114" s="244">
        <f aca="true" t="shared" si="30" ref="H114:H124">IF(E114=0,0,F114/E114*100)</f>
        <v>99.12349570221387</v>
      </c>
      <c r="I114" s="36">
        <f t="shared" si="29"/>
        <v>-677039.6100000002</v>
      </c>
      <c r="J114" s="36">
        <f aca="true" t="shared" si="31" ref="J114:J124">F114/D114*100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8"/>
        <v>-4826.520000000019</v>
      </c>
      <c r="H115" s="244">
        <f t="shared" si="30"/>
        <v>99.12349570221387</v>
      </c>
      <c r="I115" s="36">
        <f t="shared" si="29"/>
        <v>-677039.6100000002</v>
      </c>
      <c r="J115" s="36">
        <f t="shared" si="31"/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8"/>
        <v>-3734.029999999999</v>
      </c>
      <c r="H116" s="244">
        <f t="shared" si="30"/>
        <v>95.0108160470321</v>
      </c>
      <c r="I116" s="36">
        <f t="shared" si="29"/>
        <v>-240704.93000000002</v>
      </c>
      <c r="J116" s="36">
        <f t="shared" si="31"/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8"/>
        <v>-707.6699999999837</v>
      </c>
      <c r="H117" s="244">
        <f t="shared" si="30"/>
        <v>99.80061079304002</v>
      </c>
      <c r="I117" s="36">
        <f t="shared" si="29"/>
        <v>-54436.96000000002</v>
      </c>
      <c r="J117" s="36">
        <f t="shared" si="31"/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8"/>
        <v>-16.159999999999997</v>
      </c>
      <c r="H118" s="244">
        <f t="shared" si="30"/>
        <v>71.64912280701755</v>
      </c>
      <c r="I118" s="36">
        <f t="shared" si="29"/>
        <v>-186.85999999999999</v>
      </c>
      <c r="J118" s="36">
        <f t="shared" si="31"/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8"/>
        <v>0</v>
      </c>
      <c r="H119" s="244">
        <f t="shared" si="30"/>
        <v>100</v>
      </c>
      <c r="I119" s="36">
        <f t="shared" si="29"/>
        <v>-187142.9</v>
      </c>
      <c r="J119" s="36">
        <f t="shared" si="31"/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8"/>
        <v>0</v>
      </c>
      <c r="H120" s="244">
        <f t="shared" si="30"/>
        <v>100</v>
      </c>
      <c r="I120" s="36">
        <f t="shared" si="29"/>
        <v>-178707.6</v>
      </c>
      <c r="J120" s="36">
        <f t="shared" si="31"/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8"/>
        <v>-460.1399999999999</v>
      </c>
      <c r="H121" s="244">
        <f t="shared" si="30"/>
        <v>89.02806292160552</v>
      </c>
      <c r="I121" s="36">
        <f t="shared" si="29"/>
        <v>-12505.44</v>
      </c>
      <c r="J121" s="36">
        <f t="shared" si="31"/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8"/>
        <v>165.7</v>
      </c>
      <c r="H122" s="244">
        <f t="shared" si="30"/>
        <v>0</v>
      </c>
      <c r="I122" s="36">
        <f t="shared" si="29"/>
        <v>165.7</v>
      </c>
      <c r="J122" s="36" t="e">
        <f t="shared" si="31"/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8"/>
        <v>-74.22000000000003</v>
      </c>
      <c r="H123" s="244">
        <f t="shared" si="30"/>
        <v>91.84305967688756</v>
      </c>
      <c r="I123" s="36">
        <f t="shared" si="29"/>
        <v>-3520.6200000000003</v>
      </c>
      <c r="J123" s="36">
        <f t="shared" si="31"/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 t="shared" si="28"/>
        <v>-15231.915999999968</v>
      </c>
      <c r="H124" s="277">
        <f t="shared" si="30"/>
        <v>98.48512590709952</v>
      </c>
      <c r="I124" s="279">
        <f t="shared" si="29"/>
        <v>-1908165.3960000002</v>
      </c>
      <c r="J124" s="279">
        <f t="shared" si="31"/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20" t="s">
        <v>185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7"/>
      <c r="T1" s="246"/>
      <c r="U1" s="249"/>
      <c r="V1" s="259"/>
      <c r="W1" s="259"/>
    </row>
    <row r="2" spans="2:23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163</v>
      </c>
      <c r="O3" s="331" t="s">
        <v>164</v>
      </c>
      <c r="P3" s="331"/>
      <c r="Q3" s="331"/>
      <c r="R3" s="331"/>
      <c r="S3" s="331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22"/>
      <c r="B4" s="324"/>
      <c r="C4" s="325"/>
      <c r="D4" s="326"/>
      <c r="E4" s="332" t="s">
        <v>153</v>
      </c>
      <c r="F4" s="314" t="s">
        <v>33</v>
      </c>
      <c r="G4" s="305" t="s">
        <v>162</v>
      </c>
      <c r="H4" s="316" t="s">
        <v>176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186</v>
      </c>
      <c r="P4" s="305" t="s">
        <v>49</v>
      </c>
      <c r="Q4" s="307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169</v>
      </c>
      <c r="L5" s="309"/>
      <c r="M5" s="310"/>
      <c r="N5" s="317"/>
      <c r="O5" s="319"/>
      <c r="P5" s="306"/>
      <c r="Q5" s="307"/>
      <c r="R5" s="308" t="s">
        <v>102</v>
      </c>
      <c r="S5" s="310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 aca="true" t="shared" si="0" ref="G8:G40">F8-E8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 aca="true" t="shared" si="1" ref="L8:L54">F8-K8</f>
        <v>83758.09999999995</v>
      </c>
      <c r="M8" s="205">
        <f aca="true" t="shared" si="2" ref="M8:M31">F8/K8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 t="shared" si="0"/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 t="shared" si="1"/>
        <v>49905.53999999998</v>
      </c>
      <c r="M9" s="206">
        <f t="shared" si="2"/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 t="shared" si="0"/>
        <v>1803.3699999999953</v>
      </c>
      <c r="H10" s="30">
        <f aca="true" t="shared" si="3" ref="H10:H39">F10/E10*100</f>
        <v>101.23086846128643</v>
      </c>
      <c r="I10" s="104">
        <f aca="true" t="shared" si="4" ref="I10:I40">F10-D10</f>
        <v>-553001.63</v>
      </c>
      <c r="J10" s="104">
        <f aca="true" t="shared" si="5" ref="J10:J39">F10/D10*100</f>
        <v>21.14812132031592</v>
      </c>
      <c r="K10" s="106">
        <v>98464.38</v>
      </c>
      <c r="L10" s="106">
        <f t="shared" si="1"/>
        <v>49850.98999999999</v>
      </c>
      <c r="M10" s="207">
        <f t="shared" si="2"/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 aca="true" t="shared" si="6" ref="P10:P40">O10-N10</f>
        <v>1424.729999999996</v>
      </c>
      <c r="Q10" s="104">
        <f aca="true" t="shared" si="7" ref="Q10:Q27">O10/N10*100</f>
        <v>102.63040026585924</v>
      </c>
      <c r="R10" s="37"/>
      <c r="S10" s="94"/>
      <c r="T10" s="147"/>
      <c r="U10" s="247">
        <f aca="true" t="shared" si="8" ref="U10:U42">O10-T10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 t="shared" si="0"/>
        <v>-1695.5200000000004</v>
      </c>
      <c r="H11" s="30">
        <f t="shared" si="3"/>
        <v>84.30074074074074</v>
      </c>
      <c r="I11" s="104">
        <f t="shared" si="4"/>
        <v>-37401.520000000004</v>
      </c>
      <c r="J11" s="104">
        <f t="shared" si="5"/>
        <v>19.57700081709887</v>
      </c>
      <c r="K11" s="106">
        <v>8077.11</v>
      </c>
      <c r="L11" s="106">
        <f t="shared" si="1"/>
        <v>1027.37</v>
      </c>
      <c r="M11" s="207">
        <f t="shared" si="2"/>
        <v>1.1271952468147641</v>
      </c>
      <c r="N11" s="105">
        <f>E11-лютий!E11</f>
        <v>3600</v>
      </c>
      <c r="O11" s="144">
        <f>F11-лютий!F11</f>
        <v>3209.2199999999993</v>
      </c>
      <c r="P11" s="106">
        <f t="shared" si="6"/>
        <v>-390.78000000000065</v>
      </c>
      <c r="Q11" s="104">
        <f t="shared" si="7"/>
        <v>89.14499999999998</v>
      </c>
      <c r="R11" s="37"/>
      <c r="S11" s="94"/>
      <c r="T11" s="147"/>
      <c r="U11" s="247">
        <f t="shared" si="8"/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 t="shared" si="0"/>
        <v>24.690000000000055</v>
      </c>
      <c r="H12" s="30">
        <f t="shared" si="3"/>
        <v>101.41896551724139</v>
      </c>
      <c r="I12" s="104">
        <f t="shared" si="4"/>
        <v>-6515.3099999999995</v>
      </c>
      <c r="J12" s="104">
        <f t="shared" si="5"/>
        <v>21.31268115942029</v>
      </c>
      <c r="K12" s="106">
        <v>2379.47</v>
      </c>
      <c r="L12" s="106">
        <f t="shared" si="1"/>
        <v>-614.7799999999997</v>
      </c>
      <c r="M12" s="207">
        <f t="shared" si="2"/>
        <v>0.7416315397966775</v>
      </c>
      <c r="N12" s="105">
        <f>E12-лютий!E12</f>
        <v>900</v>
      </c>
      <c r="O12" s="144">
        <f>F12-лютий!F12</f>
        <v>727.27</v>
      </c>
      <c r="P12" s="106">
        <f t="shared" si="6"/>
        <v>-172.73000000000002</v>
      </c>
      <c r="Q12" s="104">
        <f t="shared" si="7"/>
        <v>80.80777777777777</v>
      </c>
      <c r="R12" s="37"/>
      <c r="S12" s="94"/>
      <c r="T12" s="147"/>
      <c r="U12" s="247">
        <f t="shared" si="8"/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 t="shared" si="0"/>
        <v>109.15999999999985</v>
      </c>
      <c r="H13" s="30">
        <f t="shared" si="3"/>
        <v>104.33174603174602</v>
      </c>
      <c r="I13" s="104">
        <f t="shared" si="4"/>
        <v>-6760.84</v>
      </c>
      <c r="J13" s="104">
        <f t="shared" si="5"/>
        <v>27.999574014909477</v>
      </c>
      <c r="K13" s="106">
        <v>2424.94</v>
      </c>
      <c r="L13" s="106">
        <f t="shared" si="1"/>
        <v>204.2199999999998</v>
      </c>
      <c r="M13" s="207">
        <f t="shared" si="2"/>
        <v>1.0842165166973203</v>
      </c>
      <c r="N13" s="105">
        <f>E13-лютий!E13</f>
        <v>900</v>
      </c>
      <c r="O13" s="144">
        <f>F13-лютий!F13</f>
        <v>600.8399999999999</v>
      </c>
      <c r="P13" s="106">
        <f t="shared" si="6"/>
        <v>-299.1600000000001</v>
      </c>
      <c r="Q13" s="104">
        <f t="shared" si="7"/>
        <v>66.75999999999999</v>
      </c>
      <c r="R13" s="37"/>
      <c r="S13" s="94"/>
      <c r="T13" s="147"/>
      <c r="U13" s="247">
        <f t="shared" si="8"/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 t="shared" si="0"/>
        <v>85.67000000000002</v>
      </c>
      <c r="H14" s="30">
        <f t="shared" si="3"/>
        <v>129.74652777777777</v>
      </c>
      <c r="I14" s="104">
        <f t="shared" si="4"/>
        <v>-778.3299999999999</v>
      </c>
      <c r="J14" s="104">
        <f t="shared" si="5"/>
        <v>32.43663194444444</v>
      </c>
      <c r="K14" s="106">
        <v>935.92</v>
      </c>
      <c r="L14" s="106">
        <f t="shared" si="1"/>
        <v>-562.25</v>
      </c>
      <c r="M14" s="207">
        <f t="shared" si="2"/>
        <v>0.3992542097615181</v>
      </c>
      <c r="N14" s="105">
        <f>E14-лютий!E14</f>
        <v>96</v>
      </c>
      <c r="O14" s="144">
        <f>F14-лютий!F14</f>
        <v>175.36</v>
      </c>
      <c r="P14" s="106">
        <f t="shared" si="6"/>
        <v>79.36000000000001</v>
      </c>
      <c r="Q14" s="104">
        <f t="shared" si="7"/>
        <v>182.66666666666669</v>
      </c>
      <c r="R14" s="37"/>
      <c r="S14" s="94"/>
      <c r="T14" s="247"/>
      <c r="U14" s="247">
        <f t="shared" si="8"/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 t="shared" si="0"/>
        <v>-537.4200000000001</v>
      </c>
      <c r="H15" s="157">
        <f>F15/E15*100</f>
        <v>-214.28070175438597</v>
      </c>
      <c r="I15" s="158">
        <f t="shared" si="4"/>
        <v>-917.4200000000001</v>
      </c>
      <c r="J15" s="158">
        <f t="shared" si="5"/>
        <v>-66.50090744101634</v>
      </c>
      <c r="K15" s="161">
        <v>185.06</v>
      </c>
      <c r="L15" s="161">
        <f t="shared" si="1"/>
        <v>-551.48</v>
      </c>
      <c r="M15" s="208">
        <f t="shared" si="2"/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 t="shared" si="6"/>
        <v>-500.33000000000004</v>
      </c>
      <c r="Q15" s="158">
        <f t="shared" si="7"/>
        <v>-316.9416666666667</v>
      </c>
      <c r="R15" s="37"/>
      <c r="S15" s="94"/>
      <c r="T15" s="147">
        <v>-377.2</v>
      </c>
      <c r="U15" s="247">
        <f t="shared" si="8"/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E16-лютий!E16</f>
        <v>0</v>
      </c>
      <c r="O16" s="168">
        <f>F16-лютий!F16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/>
      <c r="U16" s="247">
        <f t="shared" si="8"/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E17-лютий!E17</f>
        <v>0</v>
      </c>
      <c r="O17" s="168">
        <f>F17-лютий!F17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/>
      <c r="U17" s="247">
        <f t="shared" si="8"/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E18-лютий!E18</f>
        <v>0</v>
      </c>
      <c r="O18" s="168">
        <f>F18-лютий!F18</f>
        <v>0</v>
      </c>
      <c r="P18" s="161">
        <f t="shared" si="6"/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 t="shared" si="0"/>
        <v>-166.13999999999942</v>
      </c>
      <c r="H19" s="164">
        <f t="shared" si="3"/>
        <v>99.40237410071943</v>
      </c>
      <c r="I19" s="165">
        <f t="shared" si="4"/>
        <v>-102366.14</v>
      </c>
      <c r="J19" s="165">
        <f t="shared" si="5"/>
        <v>21.256815384615386</v>
      </c>
      <c r="K19" s="161">
        <v>18270.9</v>
      </c>
      <c r="L19" s="167">
        <f t="shared" si="1"/>
        <v>9362.96</v>
      </c>
      <c r="M19" s="213">
        <f t="shared" si="2"/>
        <v>1.5124520412240228</v>
      </c>
      <c r="N19" s="164">
        <f>N20+N21+N22</f>
        <v>9800</v>
      </c>
      <c r="O19" s="168">
        <f>O20+O21+O22</f>
        <v>13927.95</v>
      </c>
      <c r="P19" s="167">
        <f t="shared" si="6"/>
        <v>4127.950000000001</v>
      </c>
      <c r="Q19" s="165">
        <f t="shared" si="7"/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 t="shared" si="0"/>
        <v>-10065.939999999999</v>
      </c>
      <c r="H20" s="195">
        <f t="shared" si="3"/>
        <v>63.79158273381296</v>
      </c>
      <c r="I20" s="254">
        <f t="shared" si="4"/>
        <v>-112265.94</v>
      </c>
      <c r="J20" s="254">
        <f t="shared" si="5"/>
        <v>13.641584615384616</v>
      </c>
      <c r="K20" s="255">
        <v>18270.89</v>
      </c>
      <c r="L20" s="166">
        <f t="shared" si="1"/>
        <v>-536.8299999999981</v>
      </c>
      <c r="M20" s="256">
        <f t="shared" si="2"/>
        <v>0.9706182895305047</v>
      </c>
      <c r="N20" s="195">
        <f>E20-лютий!E19</f>
        <v>9800</v>
      </c>
      <c r="O20" s="179">
        <f>F20-лютий!F19</f>
        <v>4028.1500000000015</v>
      </c>
      <c r="P20" s="166">
        <f t="shared" si="6"/>
        <v>-5771.8499999999985</v>
      </c>
      <c r="Q20" s="254">
        <f t="shared" si="7"/>
        <v>41.10357142857144</v>
      </c>
      <c r="R20" s="107"/>
      <c r="S20" s="108"/>
      <c r="T20" s="257">
        <v>4250</v>
      </c>
      <c r="U20" s="258">
        <f t="shared" si="8"/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 t="shared" si="0"/>
        <v>2236.79</v>
      </c>
      <c r="H21" s="195"/>
      <c r="I21" s="254">
        <f t="shared" si="4"/>
        <v>2236.79</v>
      </c>
      <c r="J21" s="254"/>
      <c r="K21" s="255">
        <v>0</v>
      </c>
      <c r="L21" s="166">
        <f t="shared" si="1"/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 t="shared" si="0"/>
        <v>7663.01</v>
      </c>
      <c r="H22" s="195"/>
      <c r="I22" s="254">
        <f t="shared" si="4"/>
        <v>7663.01</v>
      </c>
      <c r="J22" s="254"/>
      <c r="K22" s="255">
        <v>0</v>
      </c>
      <c r="L22" s="166">
        <f t="shared" si="1"/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 t="shared" si="0"/>
        <v>1334.0599999999977</v>
      </c>
      <c r="H23" s="157">
        <f t="shared" si="3"/>
        <v>101.29976568246808</v>
      </c>
      <c r="I23" s="158">
        <f t="shared" si="4"/>
        <v>-297157.54</v>
      </c>
      <c r="J23" s="158">
        <f t="shared" si="5"/>
        <v>25.91990977490844</v>
      </c>
      <c r="K23" s="158">
        <v>78944.09</v>
      </c>
      <c r="L23" s="161">
        <f t="shared" si="1"/>
        <v>25028.47</v>
      </c>
      <c r="M23" s="209">
        <f t="shared" si="2"/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 t="shared" si="6"/>
        <v>-1848.6900000000023</v>
      </c>
      <c r="Q23" s="158">
        <f t="shared" si="7"/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 t="shared" si="0"/>
        <v>722.5599999999977</v>
      </c>
      <c r="H24" s="157">
        <f t="shared" si="3"/>
        <v>101.51034263641077</v>
      </c>
      <c r="I24" s="158">
        <f t="shared" si="4"/>
        <v>-158057.64</v>
      </c>
      <c r="J24" s="158">
        <f t="shared" si="5"/>
        <v>23.50359353599102</v>
      </c>
      <c r="K24" s="158">
        <v>40388.11</v>
      </c>
      <c r="L24" s="161">
        <f t="shared" si="1"/>
        <v>8175.25</v>
      </c>
      <c r="M24" s="209">
        <f t="shared" si="2"/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 t="shared" si="6"/>
        <v>1348.3099999999977</v>
      </c>
      <c r="Q24" s="158">
        <f t="shared" si="7"/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 t="shared" si="0"/>
        <v>263.9399999999996</v>
      </c>
      <c r="H25" s="173">
        <f t="shared" si="3"/>
        <v>105.33212121212121</v>
      </c>
      <c r="I25" s="174">
        <f t="shared" si="4"/>
        <v>-17595.06</v>
      </c>
      <c r="J25" s="174">
        <f t="shared" si="5"/>
        <v>22.859134552150465</v>
      </c>
      <c r="K25" s="175">
        <v>4194.89</v>
      </c>
      <c r="L25" s="166">
        <f t="shared" si="1"/>
        <v>1019.0499999999993</v>
      </c>
      <c r="M25" s="215">
        <f t="shared" si="2"/>
        <v>1.2429265129717344</v>
      </c>
      <c r="N25" s="195">
        <f>E25-лютий!E22</f>
        <v>575</v>
      </c>
      <c r="O25" s="179">
        <f>F25-лютий!F22</f>
        <v>805.7299999999996</v>
      </c>
      <c r="P25" s="177">
        <f t="shared" si="6"/>
        <v>230.72999999999956</v>
      </c>
      <c r="Q25" s="174">
        <f t="shared" si="7"/>
        <v>140.12695652173906</v>
      </c>
      <c r="R25" s="107"/>
      <c r="S25" s="108"/>
      <c r="T25" s="147">
        <v>374</v>
      </c>
      <c r="U25" s="247">
        <f t="shared" si="8"/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 t="shared" si="0"/>
        <v>-92.93</v>
      </c>
      <c r="H26" s="199">
        <f t="shared" si="3"/>
        <v>62.827999999999996</v>
      </c>
      <c r="I26" s="200">
        <f t="shared" si="4"/>
        <v>-1665.23</v>
      </c>
      <c r="J26" s="200">
        <f t="shared" si="5"/>
        <v>8.619327223838006</v>
      </c>
      <c r="K26" s="200">
        <v>156.42</v>
      </c>
      <c r="L26" s="200">
        <f t="shared" si="1"/>
        <v>0.6500000000000057</v>
      </c>
      <c r="M26" s="228">
        <f t="shared" si="2"/>
        <v>1.0041554788390232</v>
      </c>
      <c r="N26" s="237">
        <f>E26-лютий!E23</f>
        <v>55</v>
      </c>
      <c r="O26" s="237">
        <f>F26-лютий!F23</f>
        <v>6.840000000000003</v>
      </c>
      <c r="P26" s="200">
        <f t="shared" si="6"/>
        <v>-48.16</v>
      </c>
      <c r="Q26" s="200">
        <f t="shared" si="7"/>
        <v>12.436363636363643</v>
      </c>
      <c r="R26" s="107"/>
      <c r="S26" s="108"/>
      <c r="T26" s="147"/>
      <c r="U26" s="247">
        <f t="shared" si="8"/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 t="shared" si="0"/>
        <v>356.8699999999999</v>
      </c>
      <c r="H27" s="199">
        <f t="shared" si="3"/>
        <v>107.59297872340426</v>
      </c>
      <c r="I27" s="200">
        <f t="shared" si="4"/>
        <v>-15929.830000000002</v>
      </c>
      <c r="J27" s="200">
        <f t="shared" si="5"/>
        <v>24.095593876121544</v>
      </c>
      <c r="K27" s="200">
        <v>4038.47</v>
      </c>
      <c r="L27" s="200">
        <f t="shared" si="1"/>
        <v>1018.4000000000001</v>
      </c>
      <c r="M27" s="228">
        <f t="shared" si="2"/>
        <v>1.2521747097291795</v>
      </c>
      <c r="N27" s="237">
        <f>E27-лютий!E24</f>
        <v>520</v>
      </c>
      <c r="O27" s="237">
        <f>F27-лютий!F24</f>
        <v>798.8900000000003</v>
      </c>
      <c r="P27" s="200">
        <f t="shared" si="6"/>
        <v>278.8900000000003</v>
      </c>
      <c r="Q27" s="200">
        <f t="shared" si="7"/>
        <v>153.63269230769237</v>
      </c>
      <c r="R27" s="107"/>
      <c r="S27" s="108"/>
      <c r="T27" s="147"/>
      <c r="U27" s="247">
        <f t="shared" si="8"/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 t="shared" si="0"/>
        <v>-24.549999999999997</v>
      </c>
      <c r="H28" s="173">
        <f t="shared" si="3"/>
        <v>56.00358422939068</v>
      </c>
      <c r="I28" s="174">
        <f t="shared" si="4"/>
        <v>-788.75</v>
      </c>
      <c r="J28" s="174">
        <f t="shared" si="5"/>
        <v>3.8109756097560976</v>
      </c>
      <c r="K28" s="174">
        <v>313.88</v>
      </c>
      <c r="L28" s="174">
        <f t="shared" si="1"/>
        <v>-282.63</v>
      </c>
      <c r="M28" s="212">
        <f t="shared" si="2"/>
        <v>0.09956034153179559</v>
      </c>
      <c r="N28" s="195">
        <f>E28-лютий!E25</f>
        <v>5</v>
      </c>
      <c r="O28" s="179">
        <f>F28-лютий!F25</f>
        <v>-47.92</v>
      </c>
      <c r="P28" s="177">
        <f t="shared" si="6"/>
        <v>-52.92</v>
      </c>
      <c r="Q28" s="174">
        <f>O28/N28*100</f>
        <v>-958.4</v>
      </c>
      <c r="R28" s="107"/>
      <c r="S28" s="108"/>
      <c r="T28" s="147">
        <v>0</v>
      </c>
      <c r="U28" s="247">
        <f t="shared" si="8"/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 t="shared" si="0"/>
        <v>483.16999999999825</v>
      </c>
      <c r="H29" s="173">
        <f t="shared" si="3"/>
        <v>101.1279794560523</v>
      </c>
      <c r="I29" s="174">
        <f t="shared" si="4"/>
        <v>-139673.83000000002</v>
      </c>
      <c r="J29" s="174">
        <f t="shared" si="5"/>
        <v>23.672165996327706</v>
      </c>
      <c r="K29" s="175">
        <v>35879.34</v>
      </c>
      <c r="L29" s="175">
        <f t="shared" si="1"/>
        <v>7438.830000000002</v>
      </c>
      <c r="M29" s="211">
        <f t="shared" si="2"/>
        <v>1.2073290645814556</v>
      </c>
      <c r="N29" s="195">
        <f>E29-лютий!E26</f>
        <v>15180</v>
      </c>
      <c r="O29" s="179">
        <f>F29-лютий!F26</f>
        <v>16350.5</v>
      </c>
      <c r="P29" s="177">
        <f t="shared" si="6"/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 t="shared" si="8"/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 t="shared" si="0"/>
        <v>1605.4400000000005</v>
      </c>
      <c r="H30" s="199">
        <f t="shared" si="3"/>
        <v>112.51317225253312</v>
      </c>
      <c r="I30" s="200">
        <f t="shared" si="4"/>
        <v>-43097.56</v>
      </c>
      <c r="J30" s="200">
        <f t="shared" si="5"/>
        <v>25.0907131559279</v>
      </c>
      <c r="K30" s="200">
        <v>10893.12</v>
      </c>
      <c r="L30" s="200">
        <f t="shared" si="1"/>
        <v>3542.3199999999997</v>
      </c>
      <c r="M30" s="228">
        <f t="shared" si="2"/>
        <v>1.3251887429863987</v>
      </c>
      <c r="N30" s="237">
        <f>E30-лютий!E27</f>
        <v>4650</v>
      </c>
      <c r="O30" s="237">
        <f>F30-лютий!F27</f>
        <v>5576.230000000001</v>
      </c>
      <c r="P30" s="200">
        <f t="shared" si="6"/>
        <v>926.2300000000014</v>
      </c>
      <c r="Q30" s="200">
        <f>O30/N30*100</f>
        <v>119.91892473118281</v>
      </c>
      <c r="R30" s="107"/>
      <c r="S30" s="108"/>
      <c r="T30" s="147"/>
      <c r="U30" s="247">
        <f t="shared" si="8"/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 t="shared" si="0"/>
        <v>-1122.2700000000004</v>
      </c>
      <c r="H31" s="199">
        <f t="shared" si="3"/>
        <v>96.25972337943676</v>
      </c>
      <c r="I31" s="200">
        <f t="shared" si="4"/>
        <v>-96576.27</v>
      </c>
      <c r="J31" s="200">
        <f t="shared" si="5"/>
        <v>23.02164850668346</v>
      </c>
      <c r="K31" s="200">
        <v>24986.12</v>
      </c>
      <c r="L31" s="200">
        <f t="shared" si="1"/>
        <v>3896.6100000000006</v>
      </c>
      <c r="M31" s="228">
        <f t="shared" si="2"/>
        <v>1.1559509839863091</v>
      </c>
      <c r="N31" s="237">
        <f>E31-лютий!E28</f>
        <v>10530</v>
      </c>
      <c r="O31" s="237">
        <f>F31-лютий!F28</f>
        <v>10774.27</v>
      </c>
      <c r="P31" s="200">
        <f t="shared" si="6"/>
        <v>244.27000000000044</v>
      </c>
      <c r="Q31" s="200">
        <f>O31/N31*100</f>
        <v>102.31975308641977</v>
      </c>
      <c r="R31" s="107"/>
      <c r="S31" s="108"/>
      <c r="T31" s="147"/>
      <c r="U31" s="247">
        <f t="shared" si="8"/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E32-лютий!E29</f>
        <v>0</v>
      </c>
      <c r="O32" s="160">
        <f>F32-лютий!F29</f>
        <v>0</v>
      </c>
      <c r="P32" s="161">
        <f t="shared" si="6"/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 t="shared" si="0"/>
        <v>18.200000000000003</v>
      </c>
      <c r="H33" s="157">
        <f t="shared" si="3"/>
        <v>195.78947368421055</v>
      </c>
      <c r="I33" s="158">
        <f t="shared" si="4"/>
        <v>-77.8</v>
      </c>
      <c r="J33" s="158">
        <f t="shared" si="5"/>
        <v>32.34782608695652</v>
      </c>
      <c r="K33" s="158">
        <v>24.81</v>
      </c>
      <c r="L33" s="158">
        <f t="shared" si="1"/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 t="shared" si="6"/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 t="shared" si="0"/>
        <v>-24.82</v>
      </c>
      <c r="H34" s="157"/>
      <c r="I34" s="158">
        <f t="shared" si="4"/>
        <v>-24.82</v>
      </c>
      <c r="J34" s="158"/>
      <c r="K34" s="158">
        <v>-81.54</v>
      </c>
      <c r="L34" s="158">
        <f t="shared" si="1"/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 t="shared" si="6"/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 t="shared" si="0"/>
        <v>617.9200000000055</v>
      </c>
      <c r="H35" s="164">
        <f t="shared" si="3"/>
        <v>101.12802969037236</v>
      </c>
      <c r="I35" s="165">
        <f t="shared" si="4"/>
        <v>-138997.48</v>
      </c>
      <c r="J35" s="165">
        <f t="shared" si="5"/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 t="shared" si="6"/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 t="shared" si="8"/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0.16</v>
      </c>
      <c r="L36" s="127">
        <f t="shared" si="1"/>
        <v>-0.16</v>
      </c>
      <c r="M36" s="216">
        <f aca="true" t="shared" si="9" ref="M36:M43">F36/K36</f>
        <v>0</v>
      </c>
      <c r="N36" s="105">
        <f>E36-лютий!E33</f>
        <v>0</v>
      </c>
      <c r="O36" s="144">
        <f>F36-лютий!F33</f>
        <v>0</v>
      </c>
      <c r="P36" s="106">
        <f t="shared" si="6"/>
        <v>0</v>
      </c>
      <c r="Q36" s="104"/>
      <c r="R36" s="107"/>
      <c r="S36" s="108"/>
      <c r="T36" s="147"/>
      <c r="U36" s="247">
        <f t="shared" si="8"/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 t="shared" si="0"/>
        <v>547.9200000000001</v>
      </c>
      <c r="H37" s="105">
        <f t="shared" si="3"/>
        <v>105.26846153846154</v>
      </c>
      <c r="I37" s="104">
        <f t="shared" si="4"/>
        <v>-30052.08</v>
      </c>
      <c r="J37" s="104">
        <f t="shared" si="5"/>
        <v>26.702243902439026</v>
      </c>
      <c r="K37" s="127">
        <v>9812.49</v>
      </c>
      <c r="L37" s="127">
        <f t="shared" si="1"/>
        <v>1135.4300000000003</v>
      </c>
      <c r="M37" s="216">
        <f t="shared" si="9"/>
        <v>1.1157127293887688</v>
      </c>
      <c r="N37" s="105">
        <f>E37-лютий!E34</f>
        <v>1290</v>
      </c>
      <c r="O37" s="144">
        <f>F37-лютий!F34</f>
        <v>1191.9699999999993</v>
      </c>
      <c r="P37" s="106">
        <f t="shared" si="6"/>
        <v>-98.03000000000065</v>
      </c>
      <c r="Q37" s="104">
        <f>O37/N37*100</f>
        <v>92.4007751937984</v>
      </c>
      <c r="R37" s="107"/>
      <c r="S37" s="108"/>
      <c r="T37" s="147"/>
      <c r="U37" s="247">
        <f t="shared" si="8"/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 t="shared" si="0"/>
        <v>72.58000000000175</v>
      </c>
      <c r="H38" s="105">
        <f t="shared" si="3"/>
        <v>100.1636158701533</v>
      </c>
      <c r="I38" s="104">
        <f t="shared" si="4"/>
        <v>-108906.52</v>
      </c>
      <c r="J38" s="104">
        <f t="shared" si="5"/>
        <v>28.97667979008616</v>
      </c>
      <c r="K38" s="127">
        <v>28792.38</v>
      </c>
      <c r="L38" s="127">
        <f t="shared" si="1"/>
        <v>15640.2</v>
      </c>
      <c r="M38" s="216">
        <f t="shared" si="9"/>
        <v>1.5432062233132517</v>
      </c>
      <c r="N38" s="105">
        <f>E38-лютий!E35</f>
        <v>9660</v>
      </c>
      <c r="O38" s="144">
        <f>F38-лютий!F35</f>
        <v>6576.080000000002</v>
      </c>
      <c r="P38" s="106">
        <f t="shared" si="6"/>
        <v>-3083.9199999999983</v>
      </c>
      <c r="Q38" s="104">
        <f>O38/N38*100</f>
        <v>68.07536231884059</v>
      </c>
      <c r="R38" s="107"/>
      <c r="S38" s="108"/>
      <c r="T38" s="147"/>
      <c r="U38" s="247">
        <f t="shared" si="8"/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 t="shared" si="0"/>
        <v>-2.59</v>
      </c>
      <c r="H39" s="105">
        <f t="shared" si="3"/>
        <v>86.14973262032085</v>
      </c>
      <c r="I39" s="104">
        <f t="shared" si="4"/>
        <v>-38.89</v>
      </c>
      <c r="J39" s="104">
        <f t="shared" si="5"/>
        <v>29.29090909090909</v>
      </c>
      <c r="K39" s="127">
        <v>7.69</v>
      </c>
      <c r="L39" s="127">
        <f t="shared" si="1"/>
        <v>8.419999999999998</v>
      </c>
      <c r="M39" s="216">
        <f t="shared" si="9"/>
        <v>2.094928478543563</v>
      </c>
      <c r="N39" s="105">
        <f>E39-лютий!E36</f>
        <v>0</v>
      </c>
      <c r="O39" s="144">
        <f>F39-лютий!F36</f>
        <v>0</v>
      </c>
      <c r="P39" s="106">
        <f t="shared" si="6"/>
        <v>0</v>
      </c>
      <c r="Q39" s="104"/>
      <c r="R39" s="107"/>
      <c r="S39" s="108"/>
      <c r="T39" s="147"/>
      <c r="U39" s="247">
        <f t="shared" si="8"/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E40-лютий!E37</f>
        <v>0</v>
      </c>
      <c r="O40" s="160">
        <f>F40-лютий!F37</f>
        <v>0</v>
      </c>
      <c r="P40" s="36">
        <f t="shared" si="6"/>
        <v>0</v>
      </c>
      <c r="Q40" s="37"/>
      <c r="R40" s="107"/>
      <c r="S40" s="108"/>
      <c r="T40" s="147"/>
      <c r="U40" s="247">
        <f t="shared" si="8"/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 t="shared" si="1"/>
        <v>3201.9800000000014</v>
      </c>
      <c r="M41" s="205">
        <f t="shared" si="9"/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 aca="true" t="shared" si="10" ref="H42:H65">F42/E42*100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 t="shared" si="1"/>
        <v>-281.47</v>
      </c>
      <c r="M42" s="218">
        <f t="shared" si="9"/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 aca="true" t="shared" si="11" ref="Q42:Q65">O42/N42*100</f>
        <v>#DIV/0!</v>
      </c>
      <c r="R42" s="37"/>
      <c r="S42" s="94"/>
      <c r="T42" s="147">
        <v>-196</v>
      </c>
      <c r="U42" s="247">
        <f t="shared" si="8"/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 aca="true" t="shared" si="12" ref="G43:G66">F43-E43</f>
        <v>-598.1599999999999</v>
      </c>
      <c r="H43" s="164">
        <f t="shared" si="10"/>
        <v>88.71396226415095</v>
      </c>
      <c r="I43" s="165">
        <f aca="true" t="shared" si="13" ref="I43:I66">F43-D43</f>
        <v>-25298.16</v>
      </c>
      <c r="J43" s="165">
        <f>F43/D43*100</f>
        <v>15.6728</v>
      </c>
      <c r="K43" s="165">
        <v>3537.38</v>
      </c>
      <c r="L43" s="165">
        <f t="shared" si="1"/>
        <v>1164.46</v>
      </c>
      <c r="M43" s="218">
        <f t="shared" si="9"/>
        <v>1.3291871385036382</v>
      </c>
      <c r="N43" s="164">
        <f>E43-лютий!E40</f>
        <v>2800</v>
      </c>
      <c r="O43" s="168">
        <f>F43-лютий!F40</f>
        <v>2585.52</v>
      </c>
      <c r="P43" s="167">
        <f aca="true" t="shared" si="14" ref="P43:P66">O43-N43</f>
        <v>-214.48000000000002</v>
      </c>
      <c r="Q43" s="165">
        <f t="shared" si="11"/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 t="shared" si="12"/>
        <v>53.08</v>
      </c>
      <c r="H44" s="164">
        <f>F44/E44*100</f>
        <v>379.36842105263156</v>
      </c>
      <c r="I44" s="165">
        <f t="shared" si="13"/>
        <v>32.08</v>
      </c>
      <c r="J44" s="165">
        <f aca="true" t="shared" si="15" ref="J44:J65">F44/D44*100</f>
        <v>180.20000000000002</v>
      </c>
      <c r="K44" s="165">
        <v>26.96</v>
      </c>
      <c r="L44" s="165">
        <f t="shared" si="1"/>
        <v>45.12</v>
      </c>
      <c r="M44" s="218">
        <f aca="true" t="shared" si="16" ref="M44:M66">F44/K44</f>
        <v>2.6735905044510386</v>
      </c>
      <c r="N44" s="164">
        <f>E44-лютий!E41</f>
        <v>3</v>
      </c>
      <c r="O44" s="168">
        <f>F44-лютий!F41</f>
        <v>15</v>
      </c>
      <c r="P44" s="167">
        <f t="shared" si="14"/>
        <v>12</v>
      </c>
      <c r="Q44" s="165">
        <f t="shared" si="11"/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5"/>
        <v>#DIV/0!</v>
      </c>
      <c r="K45" s="165">
        <v>0.1</v>
      </c>
      <c r="L45" s="165">
        <f t="shared" si="1"/>
        <v>1.9299999999999997</v>
      </c>
      <c r="M45" s="218">
        <f t="shared" si="16"/>
        <v>20.299999999999997</v>
      </c>
      <c r="N45" s="164">
        <f>E45-лютий!E42</f>
        <v>0</v>
      </c>
      <c r="O45" s="168">
        <f>F45-лютий!F42</f>
        <v>0</v>
      </c>
      <c r="P45" s="167">
        <f t="shared" si="14"/>
        <v>0</v>
      </c>
      <c r="Q45" s="165" t="e">
        <f t="shared" si="11"/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 t="shared" si="12"/>
        <v>215.76</v>
      </c>
      <c r="H46" s="164">
        <f t="shared" si="10"/>
        <v>447.99999999999994</v>
      </c>
      <c r="I46" s="165">
        <f t="shared" si="13"/>
        <v>17.75999999999999</v>
      </c>
      <c r="J46" s="165">
        <f t="shared" si="15"/>
        <v>106.83076923076922</v>
      </c>
      <c r="K46" s="165">
        <v>20.4</v>
      </c>
      <c r="L46" s="165">
        <f t="shared" si="1"/>
        <v>257.36</v>
      </c>
      <c r="M46" s="218">
        <f t="shared" si="16"/>
        <v>13.615686274509805</v>
      </c>
      <c r="N46" s="164">
        <f>E46-лютий!E43</f>
        <v>22</v>
      </c>
      <c r="O46" s="168">
        <f>F46-лютий!F43</f>
        <v>195.68</v>
      </c>
      <c r="P46" s="167">
        <f t="shared" si="14"/>
        <v>173.68</v>
      </c>
      <c r="Q46" s="165">
        <f t="shared" si="11"/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 t="shared" si="12"/>
        <v>-26.689999999999998</v>
      </c>
      <c r="H47" s="164">
        <f t="shared" si="10"/>
        <v>1.875</v>
      </c>
      <c r="I47" s="165">
        <f t="shared" si="13"/>
        <v>-96.99</v>
      </c>
      <c r="J47" s="165">
        <f t="shared" si="15"/>
        <v>0.5230769230769231</v>
      </c>
      <c r="K47" s="165">
        <v>0</v>
      </c>
      <c r="L47" s="165">
        <f t="shared" si="1"/>
        <v>0.51</v>
      </c>
      <c r="M47" s="218"/>
      <c r="N47" s="164">
        <f>E47-лютий!E44</f>
        <v>13.6</v>
      </c>
      <c r="O47" s="168">
        <f>F47-лютий!F44</f>
        <v>0.51</v>
      </c>
      <c r="P47" s="167">
        <f t="shared" si="14"/>
        <v>-13.09</v>
      </c>
      <c r="Q47" s="165">
        <f t="shared" si="11"/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 t="shared" si="12"/>
        <v>20.94999999999999</v>
      </c>
      <c r="H48" s="164">
        <f t="shared" si="10"/>
        <v>107.48214285714286</v>
      </c>
      <c r="I48" s="165">
        <f t="shared" si="13"/>
        <v>-429.05</v>
      </c>
      <c r="J48" s="165">
        <f t="shared" si="15"/>
        <v>41.226027397260275</v>
      </c>
      <c r="K48" s="165">
        <v>0</v>
      </c>
      <c r="L48" s="165">
        <f t="shared" si="1"/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 t="shared" si="14"/>
        <v>-51.44</v>
      </c>
      <c r="Q48" s="165">
        <f t="shared" si="11"/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6"/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 t="shared" si="12"/>
        <v>244.94000000000005</v>
      </c>
      <c r="H50" s="164">
        <f t="shared" si="10"/>
        <v>107.33353293413175</v>
      </c>
      <c r="I50" s="165">
        <f t="shared" si="13"/>
        <v>-7415.0599999999995</v>
      </c>
      <c r="J50" s="165">
        <f t="shared" si="15"/>
        <v>32.59036363636364</v>
      </c>
      <c r="K50" s="165">
        <v>2339.58</v>
      </c>
      <c r="L50" s="165">
        <f t="shared" si="1"/>
        <v>1245.3600000000001</v>
      </c>
      <c r="M50" s="218">
        <f t="shared" si="16"/>
        <v>1.5323006693509091</v>
      </c>
      <c r="N50" s="164">
        <f>E50-лютий!E47</f>
        <v>1940</v>
      </c>
      <c r="O50" s="168">
        <f>F50-лютий!F47</f>
        <v>1441.2200000000003</v>
      </c>
      <c r="P50" s="167">
        <f t="shared" si="14"/>
        <v>-498.77999999999975</v>
      </c>
      <c r="Q50" s="165">
        <f t="shared" si="11"/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 t="shared" si="12"/>
        <v>60.19999999999999</v>
      </c>
      <c r="H51" s="164">
        <f t="shared" si="10"/>
        <v>180.26666666666665</v>
      </c>
      <c r="I51" s="165">
        <f t="shared" si="13"/>
        <v>-174.8</v>
      </c>
      <c r="J51" s="165">
        <f t="shared" si="15"/>
        <v>43.61290322580645</v>
      </c>
      <c r="K51" s="165">
        <v>1.2</v>
      </c>
      <c r="L51" s="165">
        <f t="shared" si="1"/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 t="shared" si="14"/>
        <v>19.75999999999999</v>
      </c>
      <c r="Q51" s="165">
        <f t="shared" si="11"/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 t="shared" si="12"/>
        <v>1</v>
      </c>
      <c r="H52" s="164">
        <f t="shared" si="10"/>
        <v>133.33333333333331</v>
      </c>
      <c r="I52" s="165">
        <f t="shared" si="13"/>
        <v>-16</v>
      </c>
      <c r="J52" s="165">
        <f t="shared" si="15"/>
        <v>20</v>
      </c>
      <c r="K52" s="165">
        <v>0</v>
      </c>
      <c r="L52" s="165">
        <f t="shared" si="1"/>
        <v>4</v>
      </c>
      <c r="M52" s="218"/>
      <c r="N52" s="164">
        <f>E52-лютий!E49</f>
        <v>1</v>
      </c>
      <c r="O52" s="168">
        <f>F52-лютий!F49</f>
        <v>4</v>
      </c>
      <c r="P52" s="167">
        <f t="shared" si="14"/>
        <v>3</v>
      </c>
      <c r="Q52" s="165">
        <f t="shared" si="11"/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 t="shared" si="12"/>
        <v>-194.91000000000008</v>
      </c>
      <c r="H53" s="164">
        <f t="shared" si="10"/>
        <v>89.29065934065935</v>
      </c>
      <c r="I53" s="165">
        <f t="shared" si="13"/>
        <v>-5649.91</v>
      </c>
      <c r="J53" s="165">
        <f t="shared" si="15"/>
        <v>22.33800687285223</v>
      </c>
      <c r="K53" s="165">
        <v>2001.53</v>
      </c>
      <c r="L53" s="165">
        <f t="shared" si="1"/>
        <v>-376.44000000000005</v>
      </c>
      <c r="M53" s="218">
        <f t="shared" si="16"/>
        <v>0.8119238782331516</v>
      </c>
      <c r="N53" s="164">
        <f>E53-лютий!E50</f>
        <v>620</v>
      </c>
      <c r="O53" s="168">
        <f>F53-лютий!F50</f>
        <v>461.74</v>
      </c>
      <c r="P53" s="167">
        <f t="shared" si="14"/>
        <v>-158.26</v>
      </c>
      <c r="Q53" s="165">
        <f t="shared" si="11"/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 t="shared" si="12"/>
        <v>11</v>
      </c>
      <c r="H54" s="164">
        <f t="shared" si="10"/>
        <v>104.68085106382978</v>
      </c>
      <c r="I54" s="165">
        <f t="shared" si="13"/>
        <v>-954</v>
      </c>
      <c r="J54" s="165">
        <f t="shared" si="15"/>
        <v>20.5</v>
      </c>
      <c r="K54" s="165">
        <v>1500.1</v>
      </c>
      <c r="L54" s="165">
        <f t="shared" si="1"/>
        <v>-1254.1</v>
      </c>
      <c r="M54" s="218">
        <f t="shared" si="16"/>
        <v>0.16398906739550698</v>
      </c>
      <c r="N54" s="164">
        <f>E54-лютий!E51</f>
        <v>95</v>
      </c>
      <c r="O54" s="168">
        <f>F54-лютий!F51</f>
        <v>156.95</v>
      </c>
      <c r="P54" s="167">
        <f t="shared" si="14"/>
        <v>61.94999999999999</v>
      </c>
      <c r="Q54" s="165">
        <f t="shared" si="11"/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 t="shared" si="12"/>
        <v>30.939999999999998</v>
      </c>
      <c r="H55" s="30">
        <f t="shared" si="10"/>
        <v>116.28421052631579</v>
      </c>
      <c r="I55" s="104">
        <f t="shared" si="13"/>
        <v>-777.06</v>
      </c>
      <c r="J55" s="104">
        <f t="shared" si="15"/>
        <v>22.138276553106213</v>
      </c>
      <c r="K55" s="104">
        <v>163.68</v>
      </c>
      <c r="L55" s="104">
        <f>F55-K55</f>
        <v>57.25999999999999</v>
      </c>
      <c r="M55" s="109">
        <f t="shared" si="16"/>
        <v>1.3498289345063539</v>
      </c>
      <c r="N55" s="105">
        <f>E55-лютий!E52</f>
        <v>80</v>
      </c>
      <c r="O55" s="144">
        <f>F55-лютий!F52</f>
        <v>147.23000000000002</v>
      </c>
      <c r="P55" s="106">
        <f t="shared" si="14"/>
        <v>67.23000000000002</v>
      </c>
      <c r="Q55" s="119">
        <f t="shared" si="11"/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 t="shared" si="12"/>
        <v>0.1</v>
      </c>
      <c r="H56" s="30" t="e">
        <f t="shared" si="10"/>
        <v>#DIV/0!</v>
      </c>
      <c r="I56" s="104">
        <f t="shared" si="13"/>
        <v>-0.9</v>
      </c>
      <c r="J56" s="104">
        <f t="shared" si="15"/>
        <v>10</v>
      </c>
      <c r="K56" s="104">
        <v>0.12</v>
      </c>
      <c r="L56" s="104">
        <f>F56-K56</f>
        <v>-0.01999999999999999</v>
      </c>
      <c r="M56" s="109">
        <f t="shared" si="16"/>
        <v>0.8333333333333334</v>
      </c>
      <c r="N56" s="105">
        <f>E56-лютий!E53</f>
        <v>0</v>
      </c>
      <c r="O56" s="144">
        <f>F56-лютий!F53</f>
        <v>0</v>
      </c>
      <c r="P56" s="106">
        <f t="shared" si="14"/>
        <v>0</v>
      </c>
      <c r="Q56" s="119" t="e">
        <f t="shared" si="11"/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5"/>
        <v>0</v>
      </c>
      <c r="K57" s="104">
        <v>0</v>
      </c>
      <c r="L57" s="104">
        <f>F57-K57</f>
        <v>0</v>
      </c>
      <c r="M57" s="109" t="e">
        <f t="shared" si="16"/>
        <v>#DIV/0!</v>
      </c>
      <c r="N57" s="105">
        <f>E57-лютий!E54</f>
        <v>0</v>
      </c>
      <c r="O57" s="144">
        <f>F57-лютий!F54</f>
        <v>0</v>
      </c>
      <c r="P57" s="106">
        <f t="shared" si="14"/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 t="shared" si="12"/>
        <v>-20.04</v>
      </c>
      <c r="H58" s="30">
        <f t="shared" si="10"/>
        <v>55.46666666666666</v>
      </c>
      <c r="I58" s="104">
        <f t="shared" si="13"/>
        <v>-175.04</v>
      </c>
      <c r="J58" s="104">
        <f t="shared" si="15"/>
        <v>12.48</v>
      </c>
      <c r="K58" s="104">
        <v>1336.3</v>
      </c>
      <c r="L58" s="104">
        <f>F58-K58</f>
        <v>-1311.34</v>
      </c>
      <c r="M58" s="109">
        <f t="shared" si="16"/>
        <v>0.018678440469954354</v>
      </c>
      <c r="N58" s="105">
        <f>E58-лютий!E55</f>
        <v>15</v>
      </c>
      <c r="O58" s="144">
        <f>F58-лютий!F55</f>
        <v>9.72</v>
      </c>
      <c r="P58" s="106">
        <f t="shared" si="14"/>
        <v>-5.279999999999999</v>
      </c>
      <c r="Q58" s="119">
        <f t="shared" si="11"/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5"/>
        <v>81.60000000000001</v>
      </c>
      <c r="K59" s="165">
        <v>2.46</v>
      </c>
      <c r="L59" s="165">
        <f>F59-K59</f>
        <v>-0.41999999999999993</v>
      </c>
      <c r="M59" s="218">
        <f t="shared" si="16"/>
        <v>0.8292682926829269</v>
      </c>
      <c r="N59" s="164">
        <f>E59-лютий!E56</f>
        <v>0</v>
      </c>
      <c r="O59" s="168">
        <f>F59-лютий!F56</f>
        <v>0.3700000000000001</v>
      </c>
      <c r="P59" s="167">
        <f t="shared" si="14"/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 t="shared" si="12"/>
        <v>15.730000000000018</v>
      </c>
      <c r="H60" s="164">
        <f t="shared" si="10"/>
        <v>100.5140522875817</v>
      </c>
      <c r="I60" s="165">
        <f t="shared" si="13"/>
        <v>-4274.27</v>
      </c>
      <c r="J60" s="165">
        <f t="shared" si="15"/>
        <v>41.846666666666664</v>
      </c>
      <c r="K60" s="165">
        <v>1114.84</v>
      </c>
      <c r="L60" s="165">
        <f aca="true" t="shared" si="17" ref="L60:L66">F60-K60</f>
        <v>1960.89</v>
      </c>
      <c r="M60" s="218">
        <f t="shared" si="16"/>
        <v>2.7588981378493775</v>
      </c>
      <c r="N60" s="164">
        <f>E60-лютий!E57</f>
        <v>860</v>
      </c>
      <c r="O60" s="168">
        <f>F60-лютий!F57</f>
        <v>364.3000000000002</v>
      </c>
      <c r="P60" s="167">
        <f t="shared" si="14"/>
        <v>-495.6999999999998</v>
      </c>
      <c r="Q60" s="165">
        <f t="shared" si="11"/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5"/>
        <v>#DIV/0!</v>
      </c>
      <c r="K61" s="165"/>
      <c r="L61" s="165">
        <f t="shared" si="17"/>
        <v>0</v>
      </c>
      <c r="M61" s="218" t="e">
        <f t="shared" si="16"/>
        <v>#DIV/0!</v>
      </c>
      <c r="N61" s="164">
        <f>E61-лютий!E58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 t="shared" si="17"/>
        <v>197.29000000000002</v>
      </c>
      <c r="M62" s="218">
        <f t="shared" si="16"/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7"/>
        <v>0</v>
      </c>
      <c r="M63" s="218" t="e">
        <f t="shared" si="16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 t="shared" si="12"/>
        <v>22.89</v>
      </c>
      <c r="H64" s="164">
        <f t="shared" si="10"/>
        <v>328.90000000000003</v>
      </c>
      <c r="I64" s="165">
        <f t="shared" si="13"/>
        <v>-127.11</v>
      </c>
      <c r="J64" s="165">
        <f t="shared" si="15"/>
        <v>20.556250000000002</v>
      </c>
      <c r="K64" s="165">
        <v>33.09</v>
      </c>
      <c r="L64" s="165">
        <f t="shared" si="17"/>
        <v>-0.20000000000000284</v>
      </c>
      <c r="M64" s="218">
        <f t="shared" si="16"/>
        <v>0.9939558779087336</v>
      </c>
      <c r="N64" s="164">
        <f>E64-лютий!E61</f>
        <v>0</v>
      </c>
      <c r="O64" s="168">
        <f>F64-лютий!F61</f>
        <v>0</v>
      </c>
      <c r="P64" s="167">
        <f t="shared" si="14"/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 t="shared" si="12"/>
        <v>10.57</v>
      </c>
      <c r="H65" s="164">
        <f t="shared" si="10"/>
        <v>385.6756756756757</v>
      </c>
      <c r="I65" s="165">
        <f t="shared" si="13"/>
        <v>-0.7300000000000004</v>
      </c>
      <c r="J65" s="165">
        <f t="shared" si="15"/>
        <v>95.13333333333333</v>
      </c>
      <c r="K65" s="165">
        <v>5.8</v>
      </c>
      <c r="L65" s="165">
        <f t="shared" si="17"/>
        <v>8.469999999999999</v>
      </c>
      <c r="M65" s="218">
        <f t="shared" si="16"/>
        <v>2.4603448275862068</v>
      </c>
      <c r="N65" s="164">
        <f>E65-лютий!E62</f>
        <v>1.2000000000000002</v>
      </c>
      <c r="O65" s="168">
        <f>F65-лютий!F62</f>
        <v>5.67</v>
      </c>
      <c r="P65" s="167">
        <f t="shared" si="14"/>
        <v>4.47</v>
      </c>
      <c r="Q65" s="165">
        <f t="shared" si="11"/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 t="shared" si="12"/>
        <v>-5.33</v>
      </c>
      <c r="H66" s="164"/>
      <c r="I66" s="165">
        <f t="shared" si="13"/>
        <v>-5.33</v>
      </c>
      <c r="J66" s="165"/>
      <c r="K66" s="165">
        <v>0</v>
      </c>
      <c r="L66" s="165">
        <f t="shared" si="17"/>
        <v>-5.33</v>
      </c>
      <c r="M66" s="218" t="e">
        <f t="shared" si="16"/>
        <v>#DIV/0!</v>
      </c>
      <c r="N66" s="164">
        <f>E66-лютий!E63</f>
        <v>0</v>
      </c>
      <c r="O66" s="168">
        <f>F66-лютий!F63</f>
        <v>0</v>
      </c>
      <c r="P66" s="167">
        <f t="shared" si="14"/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8" ref="G75:G87">F75-E75</f>
        <v>35.57</v>
      </c>
      <c r="H75" s="186"/>
      <c r="I75" s="187">
        <f aca="true" t="shared" si="19" ref="I75:I87">F75-D75</f>
        <v>35.57</v>
      </c>
      <c r="J75" s="187"/>
      <c r="K75" s="187">
        <v>0</v>
      </c>
      <c r="L75" s="187">
        <f aca="true" t="shared" si="20" ref="L75:L87">F75-K75</f>
        <v>35.57</v>
      </c>
      <c r="M75" s="187"/>
      <c r="N75" s="186">
        <f>E75-лютий!E72</f>
        <v>0</v>
      </c>
      <c r="O75" s="289">
        <f>F75-лютий!F72</f>
        <v>8.91</v>
      </c>
      <c r="P75" s="187">
        <f aca="true" t="shared" si="21" ref="P75:P89">O75-N75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 t="shared" si="18"/>
        <v>0.11</v>
      </c>
      <c r="H76" s="164"/>
      <c r="I76" s="167">
        <f t="shared" si="19"/>
        <v>-104205.92</v>
      </c>
      <c r="J76" s="167">
        <f>F76/D76*100</f>
        <v>0.00010556011010111412</v>
      </c>
      <c r="K76" s="167">
        <v>0.15</v>
      </c>
      <c r="L76" s="167">
        <f t="shared" si="20"/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 t="shared" si="21"/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 t="shared" si="18"/>
        <v>-4662.8</v>
      </c>
      <c r="H77" s="164">
        <f>F77/E77*100</f>
        <v>3.461697722567288</v>
      </c>
      <c r="I77" s="167">
        <f t="shared" si="19"/>
        <v>-53832.8</v>
      </c>
      <c r="J77" s="167">
        <f>F77/D77*100</f>
        <v>0.30962962962962964</v>
      </c>
      <c r="K77" s="167">
        <v>318.64</v>
      </c>
      <c r="L77" s="167">
        <f t="shared" si="20"/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 t="shared" si="21"/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 t="shared" si="18"/>
        <v>-3435.76</v>
      </c>
      <c r="H78" s="164">
        <f>F78/E78*100</f>
        <v>26.112688172043008</v>
      </c>
      <c r="I78" s="167">
        <f t="shared" si="19"/>
        <v>-77785.76</v>
      </c>
      <c r="J78" s="167">
        <f>F78/D78*100</f>
        <v>1.5370126582278483</v>
      </c>
      <c r="K78" s="167">
        <v>7957.09</v>
      </c>
      <c r="L78" s="167">
        <f t="shared" si="20"/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 t="shared" si="21"/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 t="shared" si="18"/>
        <v>0</v>
      </c>
      <c r="H79" s="164">
        <f>F79/E79*100</f>
        <v>100</v>
      </c>
      <c r="I79" s="167">
        <f t="shared" si="19"/>
        <v>-9</v>
      </c>
      <c r="J79" s="167">
        <f>F79/D79*100</f>
        <v>25</v>
      </c>
      <c r="K79" s="167">
        <v>3</v>
      </c>
      <c r="L79" s="167">
        <f t="shared" si="20"/>
        <v>0</v>
      </c>
      <c r="M79" s="209"/>
      <c r="N79" s="164">
        <f>E79-лютий!E76</f>
        <v>1</v>
      </c>
      <c r="O79" s="168">
        <f>F79-лютий!F76</f>
        <v>1</v>
      </c>
      <c r="P79" s="167">
        <f t="shared" si="21"/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 t="shared" si="18"/>
        <v>-8098.45</v>
      </c>
      <c r="H80" s="186">
        <f>F80/E80*100</f>
        <v>14.60033744595592</v>
      </c>
      <c r="I80" s="187">
        <f t="shared" si="19"/>
        <v>-235833.48</v>
      </c>
      <c r="J80" s="187">
        <f>F80/D80*100</f>
        <v>0.5836613684044167</v>
      </c>
      <c r="K80" s="187">
        <v>8278.87</v>
      </c>
      <c r="L80" s="187">
        <f t="shared" si="20"/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 t="shared" si="21"/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 t="shared" si="18"/>
        <v>8.28</v>
      </c>
      <c r="H81" s="164"/>
      <c r="I81" s="167">
        <f t="shared" si="19"/>
        <v>-31.22</v>
      </c>
      <c r="J81" s="167"/>
      <c r="K81" s="167">
        <v>0.44</v>
      </c>
      <c r="L81" s="167">
        <f t="shared" si="20"/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 t="shared" si="21"/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8"/>
        <v>0</v>
      </c>
      <c r="H82" s="164"/>
      <c r="I82" s="167">
        <f t="shared" si="19"/>
        <v>0</v>
      </c>
      <c r="J82" s="190"/>
      <c r="K82" s="167">
        <v>0</v>
      </c>
      <c r="L82" s="167">
        <f t="shared" si="20"/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 t="shared" si="21"/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 t="shared" si="18"/>
        <v>-138.35000000000036</v>
      </c>
      <c r="H83" s="164">
        <f>F83/E83*100</f>
        <v>94.12850655689002</v>
      </c>
      <c r="I83" s="167">
        <f t="shared" si="19"/>
        <v>-6142.05</v>
      </c>
      <c r="J83" s="167">
        <f>F83/D83*100</f>
        <v>26.530502392344495</v>
      </c>
      <c r="K83" s="167">
        <v>2019</v>
      </c>
      <c r="L83" s="167">
        <f t="shared" si="20"/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8"/>
        <v>0.03</v>
      </c>
      <c r="H84" s="164"/>
      <c r="I84" s="167">
        <f t="shared" si="19"/>
        <v>0.03</v>
      </c>
      <c r="J84" s="167"/>
      <c r="K84" s="167">
        <v>0.4</v>
      </c>
      <c r="L84" s="167">
        <f t="shared" si="20"/>
        <v>-0.37</v>
      </c>
      <c r="M84" s="209">
        <f aca="true" t="shared" si="22" ref="M84:M89">F84/K84</f>
        <v>0.075</v>
      </c>
      <c r="N84" s="164">
        <f>E84-лютий!E81</f>
        <v>0</v>
      </c>
      <c r="O84" s="168">
        <f>F84-лютий!F81</f>
        <v>0</v>
      </c>
      <c r="P84" s="167">
        <f t="shared" si="21"/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 t="shared" si="19"/>
        <v>-6173.24</v>
      </c>
      <c r="J85" s="187">
        <f>F85/D85*100</f>
        <v>26.509047619047614</v>
      </c>
      <c r="K85" s="187">
        <v>2019.85</v>
      </c>
      <c r="L85" s="187">
        <f t="shared" si="20"/>
        <v>206.90999999999985</v>
      </c>
      <c r="M85" s="220">
        <f t="shared" si="22"/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 t="shared" si="18"/>
        <v>-5.78</v>
      </c>
      <c r="H86" s="164">
        <f>F86/E86*100</f>
        <v>55.19379844961241</v>
      </c>
      <c r="I86" s="167">
        <f t="shared" si="19"/>
        <v>-30.88</v>
      </c>
      <c r="J86" s="167">
        <f>F86/D86*100</f>
        <v>18.736842105263158</v>
      </c>
      <c r="K86" s="167">
        <v>9.19</v>
      </c>
      <c r="L86" s="167">
        <f t="shared" si="20"/>
        <v>-2.0699999999999994</v>
      </c>
      <c r="M86" s="209">
        <f t="shared" si="22"/>
        <v>0.7747551686615888</v>
      </c>
      <c r="N86" s="164">
        <f>E86-лютий!E83</f>
        <v>8</v>
      </c>
      <c r="O86" s="168">
        <f>F86-лютий!F83</f>
        <v>6.16</v>
      </c>
      <c r="P86" s="167">
        <f t="shared" si="21"/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 t="shared" si="18"/>
        <v>0</v>
      </c>
      <c r="H87" s="164"/>
      <c r="I87" s="167">
        <f t="shared" si="19"/>
        <v>0</v>
      </c>
      <c r="J87" s="167"/>
      <c r="K87" s="167">
        <v>0</v>
      </c>
      <c r="L87" s="167">
        <f t="shared" si="20"/>
        <v>0</v>
      </c>
      <c r="M87" s="167"/>
      <c r="N87" s="164">
        <f>E87-лютий!E84</f>
        <v>0</v>
      </c>
      <c r="O87" s="168">
        <f>F87-лютий!F84</f>
        <v>0</v>
      </c>
      <c r="P87" s="167">
        <f t="shared" si="21"/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 t="shared" si="22"/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 t="shared" si="21"/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 t="shared" si="22"/>
        <v>1.348001905938734</v>
      </c>
      <c r="N89" s="192">
        <f>N67+N88</f>
        <v>110300.6</v>
      </c>
      <c r="O89" s="192">
        <f>O67+O88</f>
        <v>104149.96999999997</v>
      </c>
      <c r="P89" s="194">
        <f t="shared" si="21"/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03"/>
      <c r="P93" s="303"/>
    </row>
    <row r="94" spans="3:16" ht="15">
      <c r="C94" s="81">
        <v>42824</v>
      </c>
      <c r="D94" s="29">
        <v>11112.7</v>
      </c>
      <c r="F94" s="113" t="s">
        <v>58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42823</v>
      </c>
      <c r="D95" s="29">
        <v>8830.3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1399.2856000000002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 aca="true" t="shared" si="23" ref="K103:P103">K43+K44+K46+K48+K50+K51+K52+K53+K54+K60+K64+K47</f>
        <v>10575.08</v>
      </c>
      <c r="L103" s="29">
        <f t="shared" si="23"/>
        <v>3481.9100000000008</v>
      </c>
      <c r="M103" s="29">
        <f t="shared" si="23"/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 t="shared" si="23"/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 aca="true" t="shared" si="24" ref="G104:P104">SUM(G102:G103)</f>
        <v>577.429999999956</v>
      </c>
      <c r="H104" s="230">
        <f>F104/E104</f>
        <v>1.0018643869503991</v>
      </c>
      <c r="I104" s="29">
        <f t="shared" si="24"/>
        <v>-1050056.77</v>
      </c>
      <c r="J104" s="230">
        <f>F104/D104</f>
        <v>0.22646851975677773</v>
      </c>
      <c r="K104" s="29">
        <f t="shared" si="24"/>
        <v>10575.08</v>
      </c>
      <c r="L104" s="29">
        <f t="shared" si="24"/>
        <v>3481.9100000000008</v>
      </c>
      <c r="M104" s="29">
        <f t="shared" si="24"/>
        <v>23.879531548202163</v>
      </c>
      <c r="N104" s="29">
        <f t="shared" si="24"/>
        <v>102834.8</v>
      </c>
      <c r="O104" s="229">
        <f t="shared" si="24"/>
        <v>103902.62999999998</v>
      </c>
      <c r="P104" s="29">
        <f t="shared" si="24"/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 aca="true" t="shared" si="25" ref="E105:T105">E67-E104</f>
        <v>0</v>
      </c>
      <c r="F105" s="29">
        <f t="shared" si="25"/>
        <v>0</v>
      </c>
      <c r="G105" s="29">
        <f t="shared" si="25"/>
        <v>-5.330000000037444</v>
      </c>
      <c r="H105" s="230"/>
      <c r="I105" s="29">
        <f t="shared" si="25"/>
        <v>-5.330000000074506</v>
      </c>
      <c r="J105" s="230"/>
      <c r="K105" s="29">
        <f t="shared" si="25"/>
        <v>209890.7</v>
      </c>
      <c r="L105" s="29">
        <f t="shared" si="25"/>
        <v>83481.30999999994</v>
      </c>
      <c r="M105" s="29">
        <f t="shared" si="25"/>
        <v>-22.48507931166913</v>
      </c>
      <c r="N105" s="29">
        <f t="shared" si="25"/>
        <v>0</v>
      </c>
      <c r="O105" s="29">
        <f t="shared" si="25"/>
        <v>0</v>
      </c>
      <c r="P105" s="29">
        <f t="shared" si="25"/>
        <v>0</v>
      </c>
      <c r="Q105" s="29"/>
      <c r="R105" s="29">
        <f t="shared" si="25"/>
        <v>69134.62999999998</v>
      </c>
      <c r="S105" s="29">
        <f t="shared" si="25"/>
        <v>2.988455763920846</v>
      </c>
      <c r="T105" s="29">
        <f t="shared" si="25"/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 aca="true" t="shared" si="26" ref="D113:F114">D114</f>
        <v>1222868.6900000002</v>
      </c>
      <c r="E113" s="244">
        <f t="shared" si="26"/>
        <v>550655.6</v>
      </c>
      <c r="F113" s="244">
        <f t="shared" si="26"/>
        <v>545829.08</v>
      </c>
      <c r="G113" s="244">
        <f aca="true" t="shared" si="27" ref="G113:G124">F113-E113</f>
        <v>-4826.520000000019</v>
      </c>
      <c r="H113" s="244">
        <f>F113/E113*100</f>
        <v>99.12349570221387</v>
      </c>
      <c r="I113" s="36">
        <f aca="true" t="shared" si="28" ref="I113:I124">F113-D113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 t="shared" si="26"/>
        <v>1222868.6900000002</v>
      </c>
      <c r="E114" s="244">
        <f t="shared" si="26"/>
        <v>550655.6</v>
      </c>
      <c r="F114" s="244">
        <f t="shared" si="26"/>
        <v>545829.08</v>
      </c>
      <c r="G114" s="244">
        <f t="shared" si="27"/>
        <v>-4826.520000000019</v>
      </c>
      <c r="H114" s="244">
        <f aca="true" t="shared" si="29" ref="H114:H124">IF(E114=0,0,F114/E114*100)</f>
        <v>99.12349570221387</v>
      </c>
      <c r="I114" s="36">
        <f t="shared" si="28"/>
        <v>-677039.6100000002</v>
      </c>
      <c r="J114" s="36">
        <f aca="true" t="shared" si="30" ref="J114:J124">F114/D114*100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7"/>
        <v>-4826.520000000019</v>
      </c>
      <c r="H115" s="244">
        <f t="shared" si="29"/>
        <v>99.12349570221387</v>
      </c>
      <c r="I115" s="36">
        <f t="shared" si="28"/>
        <v>-677039.6100000002</v>
      </c>
      <c r="J115" s="36">
        <f t="shared" si="30"/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7"/>
        <v>-3734.029999999999</v>
      </c>
      <c r="H116" s="244">
        <f t="shared" si="29"/>
        <v>95.0108160470321</v>
      </c>
      <c r="I116" s="36">
        <f t="shared" si="28"/>
        <v>-240704.93000000002</v>
      </c>
      <c r="J116" s="36">
        <f t="shared" si="30"/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7"/>
        <v>-707.6699999999837</v>
      </c>
      <c r="H117" s="244">
        <f t="shared" si="29"/>
        <v>99.80061079304002</v>
      </c>
      <c r="I117" s="36">
        <f t="shared" si="28"/>
        <v>-54436.96000000002</v>
      </c>
      <c r="J117" s="36">
        <f t="shared" si="30"/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7"/>
        <v>-16.159999999999997</v>
      </c>
      <c r="H118" s="244">
        <f t="shared" si="29"/>
        <v>71.64912280701755</v>
      </c>
      <c r="I118" s="36">
        <f t="shared" si="28"/>
        <v>-186.85999999999999</v>
      </c>
      <c r="J118" s="36">
        <f t="shared" si="30"/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7"/>
        <v>0</v>
      </c>
      <c r="H119" s="244">
        <f t="shared" si="29"/>
        <v>100</v>
      </c>
      <c r="I119" s="36">
        <f t="shared" si="28"/>
        <v>-187142.9</v>
      </c>
      <c r="J119" s="36">
        <f t="shared" si="30"/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7"/>
        <v>0</v>
      </c>
      <c r="H120" s="244">
        <f t="shared" si="29"/>
        <v>100</v>
      </c>
      <c r="I120" s="36">
        <f t="shared" si="28"/>
        <v>-178707.6</v>
      </c>
      <c r="J120" s="36">
        <f t="shared" si="30"/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7"/>
        <v>-460.1399999999999</v>
      </c>
      <c r="H121" s="244">
        <f t="shared" si="29"/>
        <v>89.02806292160552</v>
      </c>
      <c r="I121" s="36">
        <f t="shared" si="28"/>
        <v>-12505.44</v>
      </c>
      <c r="J121" s="36">
        <f t="shared" si="30"/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7"/>
        <v>165.7</v>
      </c>
      <c r="H122" s="244">
        <f t="shared" si="29"/>
        <v>0</v>
      </c>
      <c r="I122" s="36">
        <f t="shared" si="28"/>
        <v>165.7</v>
      </c>
      <c r="J122" s="36" t="e">
        <f t="shared" si="30"/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7"/>
        <v>-74.22000000000003</v>
      </c>
      <c r="H123" s="244">
        <f t="shared" si="29"/>
        <v>91.84305967688756</v>
      </c>
      <c r="I123" s="36">
        <f t="shared" si="28"/>
        <v>-3520.6200000000003</v>
      </c>
      <c r="J123" s="36">
        <f t="shared" si="30"/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 t="shared" si="27"/>
        <v>-10300.850000000093</v>
      </c>
      <c r="H124" s="277">
        <f t="shared" si="29"/>
        <v>98.83929802661113</v>
      </c>
      <c r="I124" s="279">
        <f t="shared" si="28"/>
        <v>-2021257.6300000001</v>
      </c>
      <c r="J124" s="279">
        <f t="shared" si="30"/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20" t="s">
        <v>151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7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144</v>
      </c>
      <c r="O3" s="331" t="s">
        <v>148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149</v>
      </c>
      <c r="F4" s="314" t="s">
        <v>33</v>
      </c>
      <c r="G4" s="305" t="s">
        <v>145</v>
      </c>
      <c r="H4" s="316" t="s">
        <v>146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152</v>
      </c>
      <c r="P4" s="305" t="s">
        <v>49</v>
      </c>
      <c r="Q4" s="307" t="s">
        <v>48</v>
      </c>
      <c r="R4" s="91" t="s">
        <v>64</v>
      </c>
      <c r="S4" s="92" t="s">
        <v>63</v>
      </c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147</v>
      </c>
      <c r="L5" s="309"/>
      <c r="M5" s="310"/>
      <c r="N5" s="317"/>
      <c r="O5" s="319"/>
      <c r="P5" s="306"/>
      <c r="Q5" s="307"/>
      <c r="R5" s="308" t="s">
        <v>102</v>
      </c>
      <c r="S5" s="31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18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F15/E15*100</f>
        <v>27.27450980392157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aca="true" t="shared" si="9" ref="Q19:Q24">O19/N19*100</f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9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9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9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9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9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10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10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10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10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10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10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10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1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2" ref="G40:G63">F40-E40</f>
        <v>-383.67999999999984</v>
      </c>
      <c r="H40" s="164"/>
      <c r="I40" s="165">
        <f aca="true" t="shared" si="13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4" ref="P40:P63">O40-N40</f>
        <v>-383.67999999999984</v>
      </c>
      <c r="Q40" s="165">
        <f t="shared" si="11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2"/>
        <v>41.08</v>
      </c>
      <c r="H41" s="164">
        <f aca="true" t="shared" si="15" ref="H41:H62">F41/E41*100</f>
        <v>356.75</v>
      </c>
      <c r="I41" s="165">
        <f t="shared" si="13"/>
        <v>17.08</v>
      </c>
      <c r="J41" s="165">
        <f aca="true" t="shared" si="16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7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4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2"/>
        <v>2.03</v>
      </c>
      <c r="H42" s="164"/>
      <c r="I42" s="165">
        <f t="shared" si="13"/>
        <v>2.03</v>
      </c>
      <c r="J42" s="165"/>
      <c r="K42" s="165">
        <v>1.02</v>
      </c>
      <c r="L42" s="165">
        <f t="shared" si="1"/>
        <v>1.0099999999999998</v>
      </c>
      <c r="M42" s="218">
        <f t="shared" si="17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4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2"/>
        <v>42.08</v>
      </c>
      <c r="H43" s="164">
        <f t="shared" si="15"/>
        <v>205.20000000000002</v>
      </c>
      <c r="I43" s="165">
        <f t="shared" si="13"/>
        <v>-177.92000000000002</v>
      </c>
      <c r="J43" s="165">
        <f t="shared" si="16"/>
        <v>31.569230769230767</v>
      </c>
      <c r="K43" s="165">
        <v>3.65</v>
      </c>
      <c r="L43" s="165">
        <f t="shared" si="1"/>
        <v>78.42999999999999</v>
      </c>
      <c r="M43" s="218">
        <f t="shared" si="17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4"/>
        <v>50.91</v>
      </c>
      <c r="Q43" s="165">
        <f t="shared" si="11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2"/>
        <v>-13.6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2"/>
        <v>72.38999999999999</v>
      </c>
      <c r="H45" s="164">
        <f t="shared" si="15"/>
        <v>160.325</v>
      </c>
      <c r="I45" s="165">
        <f t="shared" si="13"/>
        <v>-537.61</v>
      </c>
      <c r="J45" s="165">
        <f t="shared" si="16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4"/>
        <v>42.93999999999998</v>
      </c>
      <c r="Q45" s="165">
        <f t="shared" si="11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2"/>
        <v>743.7199999999998</v>
      </c>
      <c r="H47" s="164">
        <f t="shared" si="15"/>
        <v>153.12285714285713</v>
      </c>
      <c r="I47" s="165">
        <f t="shared" si="13"/>
        <v>-8856.28</v>
      </c>
      <c r="J47" s="165">
        <f t="shared" si="16"/>
        <v>19.488363636363633</v>
      </c>
      <c r="K47" s="165">
        <v>1351.17</v>
      </c>
      <c r="L47" s="165">
        <f t="shared" si="1"/>
        <v>792.5499999999997</v>
      </c>
      <c r="M47" s="218">
        <f t="shared" si="17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4"/>
        <v>291.15999999999985</v>
      </c>
      <c r="Q47" s="165">
        <f t="shared" si="11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2"/>
        <v>40.44</v>
      </c>
      <c r="H48" s="164">
        <f t="shared" si="15"/>
        <v>180.88</v>
      </c>
      <c r="I48" s="165">
        <f t="shared" si="13"/>
        <v>-219.56</v>
      </c>
      <c r="J48" s="165">
        <f t="shared" si="16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4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2"/>
        <v>-2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4"/>
        <v>-1</v>
      </c>
      <c r="Q49" s="165">
        <f t="shared" si="11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2"/>
        <v>-36.65000000000009</v>
      </c>
      <c r="H50" s="164">
        <f t="shared" si="15"/>
        <v>96.94583333333333</v>
      </c>
      <c r="I50" s="165">
        <f t="shared" si="13"/>
        <v>-6111.65</v>
      </c>
      <c r="J50" s="165">
        <f t="shared" si="16"/>
        <v>15.991065292096218</v>
      </c>
      <c r="K50" s="165">
        <v>1303.34</v>
      </c>
      <c r="L50" s="165">
        <f t="shared" si="1"/>
        <v>-139.99</v>
      </c>
      <c r="M50" s="218">
        <f t="shared" si="17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4"/>
        <v>-121.6400000000001</v>
      </c>
      <c r="Q50" s="165">
        <f t="shared" si="11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2"/>
        <v>-50.95</v>
      </c>
      <c r="H51" s="164">
        <f t="shared" si="15"/>
        <v>63.607142857142854</v>
      </c>
      <c r="I51" s="165">
        <f t="shared" si="13"/>
        <v>-1110.95</v>
      </c>
      <c r="J51" s="165">
        <f t="shared" si="16"/>
        <v>7.420833333333333</v>
      </c>
      <c r="K51" s="165">
        <v>965.16</v>
      </c>
      <c r="L51" s="165">
        <f t="shared" si="1"/>
        <v>-876.11</v>
      </c>
      <c r="M51" s="218">
        <f t="shared" si="17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4"/>
        <v>-36.040000000000006</v>
      </c>
      <c r="Q51" s="165">
        <f t="shared" si="11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2"/>
        <v>-36.290000000000006</v>
      </c>
      <c r="H52" s="30">
        <f t="shared" si="15"/>
        <v>67.0090909090909</v>
      </c>
      <c r="I52" s="104">
        <f t="shared" si="13"/>
        <v>-924.29</v>
      </c>
      <c r="J52" s="104">
        <f t="shared" si="16"/>
        <v>7.385771543086171</v>
      </c>
      <c r="K52" s="104">
        <v>86.43</v>
      </c>
      <c r="L52" s="104">
        <f>F52-K52</f>
        <v>-12.720000000000013</v>
      </c>
      <c r="M52" s="109">
        <f t="shared" si="17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4"/>
        <v>-29.10000000000001</v>
      </c>
      <c r="Q52" s="119">
        <f t="shared" si="11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2"/>
        <v>0.1</v>
      </c>
      <c r="H53" s="30" t="e">
        <f t="shared" si="15"/>
        <v>#DIV/0!</v>
      </c>
      <c r="I53" s="104">
        <f t="shared" si="13"/>
        <v>-0.9</v>
      </c>
      <c r="J53" s="104">
        <f t="shared" si="16"/>
        <v>10</v>
      </c>
      <c r="K53" s="104">
        <v>0.08</v>
      </c>
      <c r="L53" s="104">
        <f>F53-K53</f>
        <v>0.020000000000000004</v>
      </c>
      <c r="M53" s="109">
        <f t="shared" si="17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4"/>
        <v>0.09000000000000001</v>
      </c>
      <c r="Q53" s="119" t="e">
        <f t="shared" si="11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4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2"/>
        <v>-14.76</v>
      </c>
      <c r="H55" s="30">
        <f t="shared" si="15"/>
        <v>50.8</v>
      </c>
      <c r="I55" s="104">
        <f t="shared" si="13"/>
        <v>-184.76</v>
      </c>
      <c r="J55" s="104">
        <f t="shared" si="16"/>
        <v>7.62</v>
      </c>
      <c r="K55" s="104">
        <v>878.65</v>
      </c>
      <c r="L55" s="104">
        <f>F55-K55</f>
        <v>-863.41</v>
      </c>
      <c r="M55" s="109">
        <f t="shared" si="17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4"/>
        <v>-7.029999999999999</v>
      </c>
      <c r="Q55" s="119">
        <f t="shared" si="11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2"/>
        <v>-0.8300000000000001</v>
      </c>
      <c r="H56" s="164"/>
      <c r="I56" s="165">
        <f t="shared" si="13"/>
        <v>-0.8300000000000001</v>
      </c>
      <c r="J56" s="165">
        <f t="shared" si="16"/>
        <v>66.8</v>
      </c>
      <c r="K56" s="165">
        <v>2.46</v>
      </c>
      <c r="L56" s="165">
        <f>F56-K56</f>
        <v>-0.79</v>
      </c>
      <c r="M56" s="218">
        <f t="shared" si="17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4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2"/>
        <v>511.42999999999984</v>
      </c>
      <c r="H57" s="164">
        <f t="shared" si="15"/>
        <v>123.24681818181817</v>
      </c>
      <c r="I57" s="165">
        <f t="shared" si="13"/>
        <v>-4638.57</v>
      </c>
      <c r="J57" s="165">
        <f t="shared" si="16"/>
        <v>36.890204081632646</v>
      </c>
      <c r="K57" s="165">
        <v>722.66</v>
      </c>
      <c r="L57" s="165">
        <f aca="true" t="shared" si="18" ref="L57:L63">F57-K57</f>
        <v>1988.77</v>
      </c>
      <c r="M57" s="218">
        <f t="shared" si="17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4"/>
        <v>-135.9000000000001</v>
      </c>
      <c r="Q57" s="165">
        <f t="shared" si="11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4"/>
        <v>0</v>
      </c>
      <c r="Q58" s="165" t="e">
        <f t="shared" si="11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 t="shared" si="18"/>
        <v>144.02999999999997</v>
      </c>
      <c r="M59" s="218">
        <f t="shared" si="17"/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4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4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2"/>
        <v>6.1</v>
      </c>
      <c r="H62" s="164">
        <f t="shared" si="15"/>
        <v>344</v>
      </c>
      <c r="I62" s="165">
        <f t="shared" si="13"/>
        <v>-6.4</v>
      </c>
      <c r="J62" s="165">
        <f t="shared" si="16"/>
        <v>57.333333333333336</v>
      </c>
      <c r="K62" s="165">
        <v>3.8</v>
      </c>
      <c r="L62" s="165">
        <f t="shared" si="18"/>
        <v>4.8</v>
      </c>
      <c r="M62" s="218">
        <f t="shared" si="17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4"/>
        <v>5.81</v>
      </c>
      <c r="Q62" s="165">
        <f t="shared" si="11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2"/>
        <v>-5.33</v>
      </c>
      <c r="H63" s="164"/>
      <c r="I63" s="165">
        <f t="shared" si="13"/>
        <v>-5.33</v>
      </c>
      <c r="J63" s="165"/>
      <c r="K63" s="165">
        <v>0.54</v>
      </c>
      <c r="L63" s="165">
        <f t="shared" si="18"/>
        <v>-5.87</v>
      </c>
      <c r="M63" s="218">
        <f t="shared" si="17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4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 aca="true" t="shared" si="19" ref="G72:G84">F72-E72</f>
        <v>26.66</v>
      </c>
      <c r="H72" s="186"/>
      <c r="I72" s="187">
        <f aca="true" t="shared" si="20" ref="I72:I84">F72-D72</f>
        <v>26.66</v>
      </c>
      <c r="J72" s="187"/>
      <c r="K72" s="187">
        <v>0</v>
      </c>
      <c r="L72" s="187">
        <f aca="true" t="shared" si="21" ref="L72:L84">F72-K72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 aca="true" t="shared" si="22" ref="P72:P86">O72-N72</f>
        <v>14.85</v>
      </c>
      <c r="Q72" s="18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t="shared" si="19"/>
        <v>0.07</v>
      </c>
      <c r="H73" s="164"/>
      <c r="I73" s="167">
        <f t="shared" si="20"/>
        <v>-104205.95999999999</v>
      </c>
      <c r="J73" s="167">
        <f>F73/D73*100</f>
        <v>6.71746155188908E-05</v>
      </c>
      <c r="K73" s="167">
        <v>0.1</v>
      </c>
      <c r="L73" s="167">
        <f t="shared" si="21"/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t="shared" si="22"/>
        <v>0.030000000000000006</v>
      </c>
      <c r="Q73" s="167"/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9"/>
        <v>-1181.66</v>
      </c>
      <c r="H74" s="164">
        <f>F74/E74*100</f>
        <v>3.930081300813008</v>
      </c>
      <c r="I74" s="167">
        <f t="shared" si="20"/>
        <v>-53951.66</v>
      </c>
      <c r="J74" s="167">
        <f>F74/D74*100</f>
        <v>0.08951851851851853</v>
      </c>
      <c r="K74" s="167">
        <v>376.67</v>
      </c>
      <c r="L74" s="167">
        <f t="shared" si="21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2"/>
        <v>-583.56</v>
      </c>
      <c r="Q74" s="167">
        <f>O74/N74*100</f>
        <v>7.371428571428572</v>
      </c>
      <c r="R74" s="38"/>
      <c r="S74" s="97"/>
      <c r="T74" s="147">
        <f aca="true" t="shared" si="23" ref="T74:T90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9"/>
        <v>302.5899999999999</v>
      </c>
      <c r="H75" s="164">
        <f>F75/E75*100</f>
        <v>137.82375</v>
      </c>
      <c r="I75" s="167">
        <f t="shared" si="20"/>
        <v>-77897.41</v>
      </c>
      <c r="J75" s="167">
        <f>F75/D75*100</f>
        <v>1.3956835443037974</v>
      </c>
      <c r="K75" s="167">
        <v>646.84</v>
      </c>
      <c r="L75" s="167">
        <f t="shared" si="21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2"/>
        <v>612.4699999999999</v>
      </c>
      <c r="Q75" s="167">
        <f>O75/N75*100</f>
        <v>253.11749999999998</v>
      </c>
      <c r="R75" s="38"/>
      <c r="S75" s="97"/>
      <c r="T75" s="147">
        <f t="shared" si="23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9"/>
        <v>0</v>
      </c>
      <c r="H76" s="164">
        <f>F76/E76*100</f>
        <v>100</v>
      </c>
      <c r="I76" s="167">
        <f t="shared" si="20"/>
        <v>-10</v>
      </c>
      <c r="J76" s="167">
        <f>F76/D76*100</f>
        <v>16.666666666666664</v>
      </c>
      <c r="K76" s="167">
        <v>2</v>
      </c>
      <c r="L76" s="167">
        <f t="shared" si="21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2"/>
        <v>0</v>
      </c>
      <c r="Q76" s="167">
        <f>O76/N76*100</f>
        <v>100</v>
      </c>
      <c r="R76" s="38"/>
      <c r="S76" s="136"/>
      <c r="T76" s="147">
        <f t="shared" si="23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9"/>
        <v>-879</v>
      </c>
      <c r="H77" s="186">
        <f>F77/E77*100</f>
        <v>56.74212598425197</v>
      </c>
      <c r="I77" s="187">
        <f t="shared" si="20"/>
        <v>-236065.03</v>
      </c>
      <c r="J77" s="187">
        <f>F77/D77*100</f>
        <v>0.48605074411923915</v>
      </c>
      <c r="K77" s="187">
        <v>1025.62</v>
      </c>
      <c r="L77" s="187">
        <f t="shared" si="21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2"/>
        <v>28.939999999999827</v>
      </c>
      <c r="Q77" s="187">
        <f>O77/N77*100</f>
        <v>102.8069835111542</v>
      </c>
      <c r="R77" s="39"/>
      <c r="S77" s="116"/>
      <c r="T77" s="147">
        <f t="shared" si="23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9"/>
        <v>8.78</v>
      </c>
      <c r="H78" s="164"/>
      <c r="I78" s="167">
        <f t="shared" si="20"/>
        <v>-31.22</v>
      </c>
      <c r="J78" s="167"/>
      <c r="K78" s="167">
        <v>0.01</v>
      </c>
      <c r="L78" s="167">
        <f t="shared" si="21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2"/>
        <v>8.44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9"/>
        <v>-132.76999999999998</v>
      </c>
      <c r="H80" s="164">
        <f>F80/E80*100</f>
        <v>94.35021276595745</v>
      </c>
      <c r="I80" s="167">
        <f t="shared" si="20"/>
        <v>-6142.77</v>
      </c>
      <c r="J80" s="167">
        <f>F80/D80*100</f>
        <v>26.52188995215311</v>
      </c>
      <c r="K80" s="167">
        <v>2013.66</v>
      </c>
      <c r="L80" s="167">
        <f t="shared" si="21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3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9"/>
        <v>0.03</v>
      </c>
      <c r="H81" s="164"/>
      <c r="I81" s="167">
        <f t="shared" si="20"/>
        <v>0.03</v>
      </c>
      <c r="J81" s="167"/>
      <c r="K81" s="167">
        <v>1.31</v>
      </c>
      <c r="L81" s="167">
        <f t="shared" si="21"/>
        <v>-1.28</v>
      </c>
      <c r="M81" s="209">
        <f aca="true" t="shared" si="24" ref="M81:M86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2"/>
        <v>0.03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20"/>
        <v>-6173.96</v>
      </c>
      <c r="J82" s="187">
        <f>F82/D82*100</f>
        <v>26.500476190476192</v>
      </c>
      <c r="K82" s="187">
        <v>2013.84</v>
      </c>
      <c r="L82" s="187">
        <f t="shared" si="21"/>
        <v>212.20000000000005</v>
      </c>
      <c r="M82" s="220">
        <f t="shared" si="24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3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9"/>
        <v>-3.9400000000000004</v>
      </c>
      <c r="H83" s="164">
        <f>F83/E83*100</f>
        <v>19.591836734693878</v>
      </c>
      <c r="I83" s="167">
        <f t="shared" si="20"/>
        <v>-37.04</v>
      </c>
      <c r="J83" s="167">
        <f>F83/D83*100</f>
        <v>2.526315789473684</v>
      </c>
      <c r="K83" s="167">
        <v>0.69</v>
      </c>
      <c r="L83" s="167">
        <f t="shared" si="21"/>
        <v>0.27</v>
      </c>
      <c r="M83" s="209">
        <f t="shared" si="24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2"/>
        <v>-1.8800000000000006</v>
      </c>
      <c r="Q83" s="167">
        <f>O83/N83</f>
        <v>0.24799999999999991</v>
      </c>
      <c r="R83" s="38"/>
      <c r="S83" s="97"/>
      <c r="T83" s="147">
        <f t="shared" si="23"/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 t="shared" si="19"/>
        <v>0</v>
      </c>
      <c r="H84" s="164"/>
      <c r="I84" s="167">
        <f t="shared" si="20"/>
        <v>0</v>
      </c>
      <c r="J84" s="167"/>
      <c r="K84" s="167">
        <v>0</v>
      </c>
      <c r="L84" s="167">
        <f t="shared" si="21"/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 t="shared" si="22"/>
        <v>0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 t="shared" si="24"/>
        <v>1.120663054670101</v>
      </c>
      <c r="N85" s="191">
        <f>N71+N72+N77+N82+N83</f>
        <v>3376</v>
      </c>
      <c r="O85" s="191">
        <f>O71+O72+O77+O82+O83</f>
        <v>3289.629999999999</v>
      </c>
      <c r="P85" s="194">
        <f t="shared" si="22"/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 t="shared" si="23"/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 t="shared" si="24"/>
        <v>1.3945860287486864</v>
      </c>
      <c r="N86" s="192">
        <f>N64+N85</f>
        <v>110041.6</v>
      </c>
      <c r="O86" s="192">
        <f>O64+O85</f>
        <v>108729.81</v>
      </c>
      <c r="P86" s="194">
        <f t="shared" si="22"/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 t="shared" si="23"/>
        <v>1394738.1300000001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13"/>
      <c r="H89" s="313"/>
      <c r="I89" s="313"/>
      <c r="J89" s="313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03"/>
      <c r="P90" s="303"/>
      <c r="T90" s="147">
        <f t="shared" si="23"/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297"/>
      <c r="H91" s="297"/>
      <c r="I91" s="118"/>
      <c r="J91" s="300"/>
      <c r="K91" s="300"/>
      <c r="L91" s="300"/>
      <c r="M91" s="300"/>
      <c r="N91" s="300"/>
      <c r="O91" s="303"/>
      <c r="P91" s="303"/>
    </row>
    <row r="92" spans="3:16" ht="15.75" customHeight="1">
      <c r="C92" s="81">
        <v>42790</v>
      </c>
      <c r="D92" s="29">
        <v>4206.9</v>
      </c>
      <c r="F92" s="68"/>
      <c r="G92" s="297"/>
      <c r="H92" s="297"/>
      <c r="I92" s="118"/>
      <c r="J92" s="304"/>
      <c r="K92" s="304"/>
      <c r="L92" s="304"/>
      <c r="M92" s="304"/>
      <c r="N92" s="304"/>
      <c r="O92" s="303"/>
      <c r="P92" s="303"/>
    </row>
    <row r="93" spans="3:14" ht="15.75" customHeight="1">
      <c r="C93" s="81"/>
      <c r="F93" s="68"/>
      <c r="G93" s="299"/>
      <c r="H93" s="299"/>
      <c r="I93" s="124"/>
      <c r="J93" s="300"/>
      <c r="K93" s="300"/>
      <c r="L93" s="300"/>
      <c r="M93" s="300"/>
      <c r="N93" s="300"/>
    </row>
    <row r="94" spans="2:14" ht="18.75" customHeight="1">
      <c r="B94" s="301" t="s">
        <v>56</v>
      </c>
      <c r="C94" s="302"/>
      <c r="D94" s="133">
        <v>7713.34596</v>
      </c>
      <c r="E94" s="69"/>
      <c r="F94" s="125" t="s">
        <v>107</v>
      </c>
      <c r="G94" s="297"/>
      <c r="H94" s="297"/>
      <c r="I94" s="126"/>
      <c r="J94" s="300"/>
      <c r="K94" s="300"/>
      <c r="L94" s="300"/>
      <c r="M94" s="300"/>
      <c r="N94" s="300"/>
    </row>
    <row r="95" spans="6:13" ht="9.75" customHeight="1">
      <c r="F95" s="68"/>
      <c r="G95" s="297"/>
      <c r="H95" s="297"/>
      <c r="I95" s="68"/>
      <c r="J95" s="69"/>
      <c r="K95" s="69"/>
      <c r="L95" s="69"/>
      <c r="M95" s="69"/>
    </row>
    <row r="96" spans="2:13" ht="22.5" customHeight="1" hidden="1">
      <c r="B96" s="295" t="s">
        <v>59</v>
      </c>
      <c r="C96" s="296"/>
      <c r="D96" s="80">
        <v>0</v>
      </c>
      <c r="E96" s="51" t="s">
        <v>24</v>
      </c>
      <c r="F96" s="68"/>
      <c r="G96" s="297"/>
      <c r="H96" s="29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298"/>
      <c r="P98" s="29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 aca="true" t="shared" si="25" ref="K100:P100">K40+K41+K43+K45+K47+K48+K49+K50+K51+K57+K61+K44</f>
        <v>4835.679999999999</v>
      </c>
      <c r="L100" s="29">
        <f t="shared" si="25"/>
        <v>3843.0699999999997</v>
      </c>
      <c r="M100" s="29">
        <f t="shared" si="25"/>
        <v>32.174115396616955</v>
      </c>
      <c r="N100" s="29">
        <f t="shared" si="25"/>
        <v>4703.8</v>
      </c>
      <c r="O100" s="229">
        <f t="shared" si="25"/>
        <v>4460.869999999999</v>
      </c>
      <c r="P100" s="29">
        <f t="shared" si="25"/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204022.1</v>
      </c>
      <c r="F101" s="229">
        <f t="shared" si="26"/>
        <v>203526.37000000005</v>
      </c>
      <c r="G101" s="29">
        <f t="shared" si="26"/>
        <v>-495.7299999999468</v>
      </c>
      <c r="H101" s="230">
        <f>F101/E101</f>
        <v>0.9975702142071866</v>
      </c>
      <c r="I101" s="29">
        <f t="shared" si="26"/>
        <v>-1153964.73</v>
      </c>
      <c r="J101" s="230">
        <f>F101/D101</f>
        <v>0.14992832733857336</v>
      </c>
      <c r="K101" s="29">
        <f t="shared" si="26"/>
        <v>4835.679999999999</v>
      </c>
      <c r="L101" s="29">
        <f t="shared" si="26"/>
        <v>3843.0699999999997</v>
      </c>
      <c r="M101" s="29">
        <f t="shared" si="26"/>
        <v>32.174115396616955</v>
      </c>
      <c r="N101" s="29">
        <f t="shared" si="26"/>
        <v>106672.40000000001</v>
      </c>
      <c r="O101" s="229">
        <f t="shared" si="26"/>
        <v>105440.18</v>
      </c>
      <c r="P101" s="29">
        <f t="shared" si="26"/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-5.4569682106375694E-12</v>
      </c>
      <c r="H102" s="230"/>
      <c r="I102" s="29">
        <f t="shared" si="27"/>
        <v>0</v>
      </c>
      <c r="J102" s="230"/>
      <c r="K102" s="29">
        <f t="shared" si="27"/>
        <v>140507.58000000002</v>
      </c>
      <c r="L102" s="29">
        <f t="shared" si="27"/>
        <v>54340.040000000045</v>
      </c>
      <c r="M102" s="29">
        <f t="shared" si="27"/>
        <v>-30.77380023924399</v>
      </c>
      <c r="N102" s="29">
        <f t="shared" si="27"/>
        <v>-6.80000000000291</v>
      </c>
      <c r="O102" s="29">
        <f t="shared" si="27"/>
        <v>0</v>
      </c>
      <c r="P102" s="29">
        <f t="shared" si="27"/>
        <v>-4.547473508864641E-12</v>
      </c>
      <c r="Q102" s="29"/>
      <c r="R102" s="29">
        <f t="shared" si="27"/>
        <v>70672.18</v>
      </c>
      <c r="S102" s="29">
        <f t="shared" si="27"/>
        <v>3.0326789001380576</v>
      </c>
      <c r="T102" s="29">
        <f t="shared" si="27"/>
        <v>1153469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6" sqref="D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20" t="s">
        <v>143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7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2"/>
      <c r="B3" s="324"/>
      <c r="C3" s="325" t="s">
        <v>0</v>
      </c>
      <c r="D3" s="326" t="s">
        <v>134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123</v>
      </c>
      <c r="O3" s="331" t="s">
        <v>118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135</v>
      </c>
      <c r="F4" s="314" t="s">
        <v>33</v>
      </c>
      <c r="G4" s="305" t="s">
        <v>136</v>
      </c>
      <c r="H4" s="316" t="s">
        <v>137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124</v>
      </c>
      <c r="P4" s="305" t="s">
        <v>49</v>
      </c>
      <c r="Q4" s="307" t="s">
        <v>48</v>
      </c>
      <c r="R4" s="91" t="s">
        <v>64</v>
      </c>
      <c r="S4" s="92" t="s">
        <v>63</v>
      </c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142</v>
      </c>
      <c r="L5" s="309"/>
      <c r="M5" s="310"/>
      <c r="N5" s="317"/>
      <c r="O5" s="319"/>
      <c r="P5" s="306"/>
      <c r="Q5" s="307"/>
      <c r="R5" s="308" t="s">
        <v>102</v>
      </c>
      <c r="S5" s="31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 aca="true" t="shared" si="0" ref="G8:G37">F8-E8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 aca="true" t="shared" si="1" ref="L8:L51">F8-K8</f>
        <v>33276.340000000004</v>
      </c>
      <c r="M8" s="205">
        <f aca="true" t="shared" si="2" ref="M8:M28">F8/K8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 t="shared" si="0"/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 t="shared" si="1"/>
        <v>16711.66</v>
      </c>
      <c r="M9" s="206">
        <f t="shared" si="2"/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 t="shared" si="0"/>
        <v>-141.0699999999997</v>
      </c>
      <c r="H10" s="30">
        <f aca="true" t="shared" si="3" ref="H10:H36">F10/E10*100</f>
        <v>99.67408280195914</v>
      </c>
      <c r="I10" s="104">
        <f aca="true" t="shared" si="4" ref="I10:I37">F10-D10</f>
        <v>-658174.07</v>
      </c>
      <c r="J10" s="104">
        <f aca="true" t="shared" si="5" ref="J10:J36">F10/D10*100</f>
        <v>6.15170172689383</v>
      </c>
      <c r="K10" s="106">
        <v>26883.84</v>
      </c>
      <c r="L10" s="106">
        <f t="shared" si="1"/>
        <v>16259.09</v>
      </c>
      <c r="M10" s="207">
        <f t="shared" si="2"/>
        <v>1.604790461481693</v>
      </c>
      <c r="N10" s="105" t="e">
        <f>E10-#REF!</f>
        <v>#REF!</v>
      </c>
      <c r="O10" s="144" t="e">
        <f>F10-#REF!</f>
        <v>#REF!</v>
      </c>
      <c r="P10" s="106" t="e">
        <f aca="true" t="shared" si="6" ref="P10:P37">O10-N10</f>
        <v>#REF!</v>
      </c>
      <c r="Q10" s="158" t="e">
        <f aca="true" t="shared" si="7" ref="Q10:Q16">O10/N10*100</f>
        <v>#REF!</v>
      </c>
      <c r="R10" s="37"/>
      <c r="S10" s="94"/>
      <c r="T10" s="147">
        <f aca="true" t="shared" si="8" ref="T10:T73">D10-E10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 t="shared" si="0"/>
        <v>-918.3000000000002</v>
      </c>
      <c r="H11" s="30">
        <f t="shared" si="3"/>
        <v>74.49166666666667</v>
      </c>
      <c r="I11" s="104">
        <f t="shared" si="4"/>
        <v>-43824.3</v>
      </c>
      <c r="J11" s="104">
        <f t="shared" si="5"/>
        <v>5.76635272868017</v>
      </c>
      <c r="K11" s="106">
        <v>2684.94</v>
      </c>
      <c r="L11" s="106">
        <f t="shared" si="1"/>
        <v>-3.2400000000002365</v>
      </c>
      <c r="M11" s="207">
        <f t="shared" si="2"/>
        <v>0.9987932691233323</v>
      </c>
      <c r="N11" s="105" t="e">
        <f>E11-#REF!</f>
        <v>#REF!</v>
      </c>
      <c r="O11" s="144" t="e">
        <f>F11-#REF!</f>
        <v>#REF!</v>
      </c>
      <c r="P11" s="106" t="e">
        <f t="shared" si="6"/>
        <v>#REF!</v>
      </c>
      <c r="Q11" s="158" t="e">
        <f t="shared" si="7"/>
        <v>#REF!</v>
      </c>
      <c r="R11" s="37"/>
      <c r="S11" s="94"/>
      <c r="T11" s="147">
        <f t="shared" si="8"/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 t="shared" si="0"/>
        <v>80.43</v>
      </c>
      <c r="H12" s="30">
        <f t="shared" si="3"/>
        <v>119.15</v>
      </c>
      <c r="I12" s="104">
        <f t="shared" si="4"/>
        <v>-7779.57</v>
      </c>
      <c r="J12" s="104">
        <f t="shared" si="5"/>
        <v>6.043840579710145</v>
      </c>
      <c r="K12" s="106">
        <v>433.61</v>
      </c>
      <c r="L12" s="106">
        <f t="shared" si="1"/>
        <v>66.82</v>
      </c>
      <c r="M12" s="207">
        <f t="shared" si="2"/>
        <v>1.1541016120476926</v>
      </c>
      <c r="N12" s="105" t="e">
        <f>E12-#REF!</f>
        <v>#REF!</v>
      </c>
      <c r="O12" s="144" t="e">
        <f>F12-#REF!</f>
        <v>#REF!</v>
      </c>
      <c r="P12" s="106" t="e">
        <f t="shared" si="6"/>
        <v>#REF!</v>
      </c>
      <c r="Q12" s="158" t="e">
        <f t="shared" si="7"/>
        <v>#REF!</v>
      </c>
      <c r="R12" s="37"/>
      <c r="S12" s="94"/>
      <c r="T12" s="147">
        <f t="shared" si="8"/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 t="shared" si="0"/>
        <v>199.36</v>
      </c>
      <c r="H13" s="30">
        <f t="shared" si="3"/>
        <v>166.45333333333335</v>
      </c>
      <c r="I13" s="104">
        <f t="shared" si="4"/>
        <v>-8890.64</v>
      </c>
      <c r="J13" s="104">
        <f t="shared" si="5"/>
        <v>5.317997870074548</v>
      </c>
      <c r="K13" s="106">
        <v>209.84</v>
      </c>
      <c r="L13" s="106">
        <f t="shared" si="1"/>
        <v>289.52</v>
      </c>
      <c r="M13" s="207">
        <f t="shared" si="2"/>
        <v>2.3797178802897445</v>
      </c>
      <c r="N13" s="105" t="e">
        <f>E13-#REF!</f>
        <v>#REF!</v>
      </c>
      <c r="O13" s="144" t="e">
        <f>F13-#REF!</f>
        <v>#REF!</v>
      </c>
      <c r="P13" s="106" t="e">
        <f t="shared" si="6"/>
        <v>#REF!</v>
      </c>
      <c r="Q13" s="158" t="e">
        <f t="shared" si="7"/>
        <v>#REF!</v>
      </c>
      <c r="R13" s="37"/>
      <c r="S13" s="94"/>
      <c r="T13" s="147">
        <f t="shared" si="8"/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 t="shared" si="0"/>
        <v>4.5</v>
      </c>
      <c r="H14" s="30">
        <f t="shared" si="3"/>
        <v>104.6875</v>
      </c>
      <c r="I14" s="104">
        <f t="shared" si="4"/>
        <v>-1051.5</v>
      </c>
      <c r="J14" s="104">
        <f t="shared" si="5"/>
        <v>8.723958333333332</v>
      </c>
      <c r="K14" s="106">
        <v>1.04</v>
      </c>
      <c r="L14" s="106">
        <f t="shared" si="1"/>
        <v>99.46</v>
      </c>
      <c r="M14" s="207">
        <f t="shared" si="2"/>
        <v>96.63461538461539</v>
      </c>
      <c r="N14" s="105" t="e">
        <f>E14-#REF!</f>
        <v>#REF!</v>
      </c>
      <c r="O14" s="144" t="e">
        <f>F14-#REF!</f>
        <v>#REF!</v>
      </c>
      <c r="P14" s="106" t="e">
        <f t="shared" si="6"/>
        <v>#REF!</v>
      </c>
      <c r="Q14" s="158" t="e">
        <f t="shared" si="7"/>
        <v>#REF!</v>
      </c>
      <c r="R14" s="37"/>
      <c r="S14" s="94"/>
      <c r="T14" s="147">
        <f t="shared" si="8"/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 t="shared" si="0"/>
        <v>0</v>
      </c>
      <c r="H15" s="157"/>
      <c r="I15" s="158">
        <f t="shared" si="4"/>
        <v>-551</v>
      </c>
      <c r="J15" s="158">
        <f t="shared" si="5"/>
        <v>0</v>
      </c>
      <c r="K15" s="161">
        <v>0</v>
      </c>
      <c r="L15" s="161">
        <f t="shared" si="1"/>
        <v>0</v>
      </c>
      <c r="M15" s="208"/>
      <c r="N15" s="157" t="e">
        <f>E15-#REF!</f>
        <v>#REF!</v>
      </c>
      <c r="O15" s="160" t="e">
        <f>F15-#REF!</f>
        <v>#REF!</v>
      </c>
      <c r="P15" s="161" t="e">
        <f t="shared" si="6"/>
        <v>#REF!</v>
      </c>
      <c r="Q15" s="158" t="e">
        <f t="shared" si="7"/>
        <v>#REF!</v>
      </c>
      <c r="R15" s="37"/>
      <c r="S15" s="94"/>
      <c r="T15" s="147">
        <f t="shared" si="8"/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/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 t="shared" si="6"/>
        <v>#REF!</v>
      </c>
      <c r="Q16" s="158" t="e">
        <f t="shared" si="7"/>
        <v>#REF!</v>
      </c>
      <c r="R16" s="104" t="e">
        <f>O16-358.81</f>
        <v>#REF!</v>
      </c>
      <c r="S16" s="109" t="e">
        <f>O16/358.79</f>
        <v>#REF!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64"/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 t="shared" si="6"/>
        <v>#REF!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 t="shared" si="0"/>
        <v>0</v>
      </c>
      <c r="H18" s="157"/>
      <c r="I18" s="158">
        <f t="shared" si="4"/>
        <v>-125</v>
      </c>
      <c r="J18" s="158">
        <f t="shared" si="5"/>
        <v>0</v>
      </c>
      <c r="K18" s="161">
        <v>0</v>
      </c>
      <c r="L18" s="161">
        <f t="shared" si="1"/>
        <v>0</v>
      </c>
      <c r="M18" s="208"/>
      <c r="N18" s="157" t="e">
        <f>E18-#REF!</f>
        <v>#REF!</v>
      </c>
      <c r="O18" s="160" t="e">
        <f>F18-#REF!</f>
        <v>#REF!</v>
      </c>
      <c r="P18" s="161" t="e">
        <f t="shared" si="6"/>
        <v>#REF!</v>
      </c>
      <c r="Q18" s="158"/>
      <c r="R18" s="37"/>
      <c r="S18" s="94"/>
      <c r="T18" s="147">
        <f t="shared" si="8"/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 t="shared" si="0"/>
        <v>51.75</v>
      </c>
      <c r="H19" s="157">
        <f t="shared" si="3"/>
        <v>100.53350515463917</v>
      </c>
      <c r="I19" s="158">
        <f t="shared" si="4"/>
        <v>-120248.25</v>
      </c>
      <c r="J19" s="158">
        <f t="shared" si="5"/>
        <v>7.501346153846154</v>
      </c>
      <c r="K19" s="169">
        <v>5560</v>
      </c>
      <c r="L19" s="161">
        <f t="shared" si="1"/>
        <v>4191.75</v>
      </c>
      <c r="M19" s="213">
        <f t="shared" si="2"/>
        <v>1.7539118705035972</v>
      </c>
      <c r="N19" s="157" t="e">
        <f>E19-#REF!</f>
        <v>#REF!</v>
      </c>
      <c r="O19" s="160" t="e">
        <f>F19-#REF!</f>
        <v>#REF!</v>
      </c>
      <c r="P19" s="161" t="e">
        <f t="shared" si="6"/>
        <v>#REF!</v>
      </c>
      <c r="Q19" s="158" t="e">
        <f aca="true" t="shared" si="9" ref="Q19:Q24">O19/N19*100</f>
        <v>#REF!</v>
      </c>
      <c r="R19" s="107"/>
      <c r="S19" s="108"/>
      <c r="T19" s="147">
        <f t="shared" si="8"/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 t="shared" si="0"/>
        <v>212.79000000000087</v>
      </c>
      <c r="H20" s="157">
        <f t="shared" si="3"/>
        <v>100.57561371474944</v>
      </c>
      <c r="I20" s="158">
        <f t="shared" si="4"/>
        <v>-363949.81</v>
      </c>
      <c r="J20" s="158">
        <f t="shared" si="5"/>
        <v>9.268885581012245</v>
      </c>
      <c r="K20" s="158">
        <v>24797.05</v>
      </c>
      <c r="L20" s="161">
        <f t="shared" si="1"/>
        <v>12383.240000000002</v>
      </c>
      <c r="M20" s="209">
        <f t="shared" si="2"/>
        <v>1.4993835960325927</v>
      </c>
      <c r="N20" s="157" t="e">
        <f>N21+N30+N31+N32</f>
        <v>#REF!</v>
      </c>
      <c r="O20" s="160" t="e">
        <f>F20-#REF!</f>
        <v>#REF!</v>
      </c>
      <c r="P20" s="161" t="e">
        <f t="shared" si="6"/>
        <v>#REF!</v>
      </c>
      <c r="Q20" s="158" t="e">
        <f t="shared" si="9"/>
        <v>#REF!</v>
      </c>
      <c r="R20" s="107"/>
      <c r="S20" s="108"/>
      <c r="T20" s="147">
        <f t="shared" si="8"/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 t="shared" si="0"/>
        <v>-225.52000000000044</v>
      </c>
      <c r="H21" s="157">
        <f t="shared" si="3"/>
        <v>98.65327425384275</v>
      </c>
      <c r="I21" s="158">
        <f t="shared" si="4"/>
        <v>-190100.72</v>
      </c>
      <c r="J21" s="158">
        <f t="shared" si="5"/>
        <v>7.995450607634267</v>
      </c>
      <c r="K21" s="158">
        <v>11899.3</v>
      </c>
      <c r="L21" s="161">
        <f t="shared" si="1"/>
        <v>4620.98</v>
      </c>
      <c r="M21" s="209">
        <f t="shared" si="2"/>
        <v>1.388340490617095</v>
      </c>
      <c r="N21" s="157" t="e">
        <f>N22+N25+N26</f>
        <v>#REF!</v>
      </c>
      <c r="O21" s="160" t="e">
        <f>F21-#REF!</f>
        <v>#REF!</v>
      </c>
      <c r="P21" s="161" t="e">
        <f t="shared" si="6"/>
        <v>#REF!</v>
      </c>
      <c r="Q21" s="158" t="e">
        <f t="shared" si="9"/>
        <v>#REF!</v>
      </c>
      <c r="R21" s="107"/>
      <c r="S21" s="108"/>
      <c r="T21" s="147">
        <f t="shared" si="8"/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 t="shared" si="0"/>
        <v>-330.3899999999999</v>
      </c>
      <c r="H22" s="173">
        <f t="shared" si="3"/>
        <v>92.0387951807229</v>
      </c>
      <c r="I22" s="174">
        <f t="shared" si="4"/>
        <v>-18989.39</v>
      </c>
      <c r="J22" s="174">
        <f t="shared" si="5"/>
        <v>16.746065149721602</v>
      </c>
      <c r="K22" s="175">
        <v>3049.6</v>
      </c>
      <c r="L22" s="166">
        <f t="shared" si="1"/>
        <v>770.0100000000002</v>
      </c>
      <c r="M22" s="215">
        <f t="shared" si="2"/>
        <v>1.252495409233998</v>
      </c>
      <c r="N22" s="173" t="e">
        <f>E22-#REF!</f>
        <v>#REF!</v>
      </c>
      <c r="O22" s="176" t="e">
        <f>F22-#REF!</f>
        <v>#REF!</v>
      </c>
      <c r="P22" s="177" t="e">
        <f t="shared" si="6"/>
        <v>#REF!</v>
      </c>
      <c r="Q22" s="174" t="e">
        <f t="shared" si="9"/>
        <v>#REF!</v>
      </c>
      <c r="R22" s="107"/>
      <c r="S22" s="108"/>
      <c r="T22" s="147">
        <f t="shared" si="8"/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 t="shared" si="0"/>
        <v>-19.629999999999995</v>
      </c>
      <c r="H23" s="199">
        <f t="shared" si="3"/>
        <v>85.97857142857143</v>
      </c>
      <c r="I23" s="200">
        <f t="shared" si="4"/>
        <v>-1701.9299999999998</v>
      </c>
      <c r="J23" s="200">
        <f t="shared" si="5"/>
        <v>6.605388794380727</v>
      </c>
      <c r="K23" s="200">
        <v>128.1</v>
      </c>
      <c r="L23" s="200">
        <f t="shared" si="1"/>
        <v>-7.72999999999999</v>
      </c>
      <c r="M23" s="228">
        <f t="shared" si="2"/>
        <v>0.939656518345043</v>
      </c>
      <c r="N23" s="199" t="e">
        <f>E23-#REF!</f>
        <v>#REF!</v>
      </c>
      <c r="O23" s="199" t="e">
        <f>F23-#REF!</f>
        <v>#REF!</v>
      </c>
      <c r="P23" s="200" t="e">
        <f t="shared" si="6"/>
        <v>#REF!</v>
      </c>
      <c r="Q23" s="200" t="e">
        <f t="shared" si="9"/>
        <v>#REF!</v>
      </c>
      <c r="R23" s="107"/>
      <c r="S23" s="108"/>
      <c r="T23" s="147">
        <f t="shared" si="8"/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 t="shared" si="0"/>
        <v>-310.7600000000002</v>
      </c>
      <c r="H24" s="199">
        <f t="shared" si="3"/>
        <v>92.2503740648379</v>
      </c>
      <c r="I24" s="200">
        <f t="shared" si="4"/>
        <v>-17287.46</v>
      </c>
      <c r="J24" s="200">
        <f t="shared" si="5"/>
        <v>17.62659207974574</v>
      </c>
      <c r="K24" s="200">
        <v>2921.5</v>
      </c>
      <c r="L24" s="200">
        <f t="shared" si="1"/>
        <v>777.7399999999998</v>
      </c>
      <c r="M24" s="228">
        <f t="shared" si="2"/>
        <v>1.266212562040048</v>
      </c>
      <c r="N24" s="199" t="e">
        <f>E24-#REF!</f>
        <v>#REF!</v>
      </c>
      <c r="O24" s="199" t="e">
        <f>F24-#REF!</f>
        <v>#REF!</v>
      </c>
      <c r="P24" s="200" t="e">
        <f t="shared" si="6"/>
        <v>#REF!</v>
      </c>
      <c r="Q24" s="200" t="e">
        <f t="shared" si="9"/>
        <v>#REF!</v>
      </c>
      <c r="R24" s="107"/>
      <c r="S24" s="108"/>
      <c r="T24" s="147">
        <f t="shared" si="8"/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 t="shared" si="0"/>
        <v>6.280000000000001</v>
      </c>
      <c r="H25" s="173">
        <f t="shared" si="3"/>
        <v>113.71179039301312</v>
      </c>
      <c r="I25" s="174">
        <f t="shared" si="4"/>
        <v>-767.92</v>
      </c>
      <c r="J25" s="174">
        <f t="shared" si="5"/>
        <v>6.351219512195122</v>
      </c>
      <c r="K25" s="174">
        <v>156.87</v>
      </c>
      <c r="L25" s="174">
        <f t="shared" si="1"/>
        <v>-104.79</v>
      </c>
      <c r="M25" s="212">
        <f t="shared" si="2"/>
        <v>0.33199464524765726</v>
      </c>
      <c r="N25" s="173" t="e">
        <f>E25-#REF!</f>
        <v>#REF!</v>
      </c>
      <c r="O25" s="176" t="e">
        <f>F25-#REF!</f>
        <v>#REF!</v>
      </c>
      <c r="P25" s="177" t="e">
        <f t="shared" si="6"/>
        <v>#REF!</v>
      </c>
      <c r="Q25" s="174"/>
      <c r="R25" s="107"/>
      <c r="S25" s="108"/>
      <c r="T25" s="147">
        <f t="shared" si="8"/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 t="shared" si="0"/>
        <v>98.59000000000015</v>
      </c>
      <c r="H26" s="173">
        <f t="shared" si="3"/>
        <v>100.78557768924303</v>
      </c>
      <c r="I26" s="174">
        <f t="shared" si="4"/>
        <v>-170343.41</v>
      </c>
      <c r="J26" s="174">
        <f t="shared" si="5"/>
        <v>6.912099982512896</v>
      </c>
      <c r="K26" s="175">
        <v>8692.83</v>
      </c>
      <c r="L26" s="175">
        <f t="shared" si="1"/>
        <v>3955.76</v>
      </c>
      <c r="M26" s="211">
        <f t="shared" si="2"/>
        <v>1.455060089752129</v>
      </c>
      <c r="N26" s="173" t="e">
        <f>E26-#REF!</f>
        <v>#REF!</v>
      </c>
      <c r="O26" s="176" t="e">
        <f>F26-#REF!</f>
        <v>#REF!</v>
      </c>
      <c r="P26" s="177" t="e">
        <f t="shared" si="6"/>
        <v>#REF!</v>
      </c>
      <c r="Q26" s="174" t="e">
        <f>O26/N26*100</f>
        <v>#REF!</v>
      </c>
      <c r="R26" s="107"/>
      <c r="S26" s="108"/>
      <c r="T26" s="147">
        <f t="shared" si="8"/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 t="shared" si="0"/>
        <v>269.8600000000001</v>
      </c>
      <c r="H27" s="199">
        <f t="shared" si="3"/>
        <v>107.64475920679888</v>
      </c>
      <c r="I27" s="200">
        <f t="shared" si="4"/>
        <v>-53733.14</v>
      </c>
      <c r="J27" s="200">
        <f t="shared" si="5"/>
        <v>6.604661672431475</v>
      </c>
      <c r="K27" s="200">
        <v>2454.05</v>
      </c>
      <c r="L27" s="200">
        <f t="shared" si="1"/>
        <v>1345.81</v>
      </c>
      <c r="M27" s="228">
        <f t="shared" si="2"/>
        <v>1.5484036592571462</v>
      </c>
      <c r="N27" s="199" t="e">
        <f>E27-#REF!</f>
        <v>#REF!</v>
      </c>
      <c r="O27" s="199" t="e">
        <f>F27-#REF!</f>
        <v>#REF!</v>
      </c>
      <c r="P27" s="200" t="e">
        <f t="shared" si="6"/>
        <v>#REF!</v>
      </c>
      <c r="Q27" s="200" t="e">
        <f>O27/N27*100</f>
        <v>#REF!</v>
      </c>
      <c r="R27" s="107"/>
      <c r="S27" s="108"/>
      <c r="T27" s="147">
        <f t="shared" si="8"/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 t="shared" si="0"/>
        <v>-171.27000000000044</v>
      </c>
      <c r="H28" s="199">
        <f t="shared" si="3"/>
        <v>98.10121951219512</v>
      </c>
      <c r="I28" s="200">
        <f t="shared" si="4"/>
        <v>-116610.27</v>
      </c>
      <c r="J28" s="200">
        <f t="shared" si="5"/>
        <v>7.053085071617023</v>
      </c>
      <c r="K28" s="200">
        <v>6238.78</v>
      </c>
      <c r="L28" s="200">
        <f t="shared" si="1"/>
        <v>2609.95</v>
      </c>
      <c r="M28" s="228">
        <f t="shared" si="2"/>
        <v>1.4183430093704217</v>
      </c>
      <c r="N28" s="199" t="e">
        <f>E28-#REF!</f>
        <v>#REF!</v>
      </c>
      <c r="O28" s="199" t="e">
        <f>F28-#REF!</f>
        <v>#REF!</v>
      </c>
      <c r="P28" s="200" t="e">
        <f t="shared" si="6"/>
        <v>#REF!</v>
      </c>
      <c r="Q28" s="200" t="e">
        <f>O28/N28*100</f>
        <v>#REF!</v>
      </c>
      <c r="R28" s="107"/>
      <c r="S28" s="108"/>
      <c r="T28" s="147">
        <f t="shared" si="8"/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 t="e">
        <f>E29-#REF!</f>
        <v>#REF!</v>
      </c>
      <c r="O29" s="160" t="e">
        <f>F29-#REF!</f>
        <v>#REF!</v>
      </c>
      <c r="P29" s="161" t="e">
        <f t="shared" si="6"/>
        <v>#REF!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 t="shared" si="0"/>
        <v>10.06</v>
      </c>
      <c r="H30" s="157">
        <f t="shared" si="3"/>
        <v>435.33333333333337</v>
      </c>
      <c r="I30" s="158">
        <f t="shared" si="4"/>
        <v>-101.94</v>
      </c>
      <c r="J30" s="158">
        <f t="shared" si="5"/>
        <v>11.356521739130434</v>
      </c>
      <c r="K30" s="158">
        <v>2.61</v>
      </c>
      <c r="L30" s="158">
        <f t="shared" si="1"/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 t="shared" si="6"/>
        <v>#REF!</v>
      </c>
      <c r="Q30" s="158" t="e">
        <f>O30/N30*100</f>
        <v>#REF!</v>
      </c>
      <c r="R30" s="107"/>
      <c r="S30" s="108"/>
      <c r="T30" s="147">
        <f t="shared" si="8"/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 t="shared" si="0"/>
        <v>-2.93</v>
      </c>
      <c r="H31" s="157"/>
      <c r="I31" s="158">
        <f t="shared" si="4"/>
        <v>-2.93</v>
      </c>
      <c r="J31" s="158"/>
      <c r="K31" s="158">
        <v>-0.35</v>
      </c>
      <c r="L31" s="158">
        <f t="shared" si="1"/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 t="shared" si="6"/>
        <v>#REF!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 t="shared" si="0"/>
        <v>430.97999999999956</v>
      </c>
      <c r="H32" s="164">
        <f t="shared" si="3"/>
        <v>102.13159105184803</v>
      </c>
      <c r="I32" s="165">
        <f t="shared" si="4"/>
        <v>-173744.42</v>
      </c>
      <c r="J32" s="165">
        <f t="shared" si="5"/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 t="shared" si="6"/>
        <v>#REF!</v>
      </c>
      <c r="Q32" s="165" t="e">
        <f>O32/N32*100</f>
        <v>#REF!</v>
      </c>
      <c r="R32" s="107"/>
      <c r="S32" s="108"/>
      <c r="T32" s="147">
        <f t="shared" si="8"/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</v>
      </c>
      <c r="L33" s="127">
        <f t="shared" si="1"/>
        <v>0</v>
      </c>
      <c r="M33" s="216" t="e">
        <f aca="true" t="shared" si="10" ref="M33:M39">F33/K33</f>
        <v>#DIV/0!</v>
      </c>
      <c r="N33" s="105" t="e">
        <f>E33-#REF!</f>
        <v>#REF!</v>
      </c>
      <c r="O33" s="144" t="e">
        <f>F33-#REF!</f>
        <v>#REF!</v>
      </c>
      <c r="P33" s="106" t="e">
        <f t="shared" si="6"/>
        <v>#REF!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 t="shared" si="0"/>
        <v>85.0300000000002</v>
      </c>
      <c r="H34" s="105">
        <f t="shared" si="3"/>
        <v>102.42942857142859</v>
      </c>
      <c r="I34" s="104">
        <f t="shared" si="4"/>
        <v>-37414.97</v>
      </c>
      <c r="J34" s="104">
        <f t="shared" si="5"/>
        <v>8.743975609756099</v>
      </c>
      <c r="K34" s="127">
        <v>2155.98</v>
      </c>
      <c r="L34" s="127">
        <f t="shared" si="1"/>
        <v>1429.0500000000002</v>
      </c>
      <c r="M34" s="216">
        <f t="shared" si="10"/>
        <v>1.6628308240336183</v>
      </c>
      <c r="N34" s="105" t="e">
        <f>E34-#REF!</f>
        <v>#REF!</v>
      </c>
      <c r="O34" s="144" t="e">
        <f>F34-#REF!</f>
        <v>#REF!</v>
      </c>
      <c r="P34" s="106" t="e">
        <f t="shared" si="6"/>
        <v>#REF!</v>
      </c>
      <c r="Q34" s="104" t="e">
        <f>O34/N34*100</f>
        <v>#REF!</v>
      </c>
      <c r="R34" s="107"/>
      <c r="S34" s="108"/>
      <c r="T34" s="147">
        <f t="shared" si="8"/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 t="shared" si="0"/>
        <v>348.5400000000009</v>
      </c>
      <c r="H35" s="105">
        <f t="shared" si="3"/>
        <v>102.08706586826348</v>
      </c>
      <c r="I35" s="104">
        <f t="shared" si="4"/>
        <v>-136290.56</v>
      </c>
      <c r="J35" s="104">
        <f t="shared" si="5"/>
        <v>11.118194902669964</v>
      </c>
      <c r="K35" s="127">
        <v>10736.34</v>
      </c>
      <c r="L35" s="127">
        <f t="shared" si="1"/>
        <v>6312.200000000001</v>
      </c>
      <c r="M35" s="216">
        <f t="shared" si="10"/>
        <v>1.5879284746943558</v>
      </c>
      <c r="N35" s="105" t="e">
        <f>E35-#REF!</f>
        <v>#REF!</v>
      </c>
      <c r="O35" s="144" t="e">
        <f>F35-#REF!</f>
        <v>#REF!</v>
      </c>
      <c r="P35" s="106" t="e">
        <f t="shared" si="6"/>
        <v>#REF!</v>
      </c>
      <c r="Q35" s="104" t="e">
        <f>O35/N35*100</f>
        <v>#REF!</v>
      </c>
      <c r="R35" s="107"/>
      <c r="S35" s="108"/>
      <c r="T35" s="147">
        <f t="shared" si="8"/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3.19</v>
      </c>
      <c r="L36" s="127">
        <f t="shared" si="1"/>
        <v>12.92</v>
      </c>
      <c r="M36" s="216">
        <f t="shared" si="10"/>
        <v>5.0501567398119125</v>
      </c>
      <c r="N36" s="105" t="e">
        <f>E36-#REF!</f>
        <v>#REF!</v>
      </c>
      <c r="O36" s="144" t="e">
        <f>F36-#REF!</f>
        <v>#REF!</v>
      </c>
      <c r="P36" s="106" t="e">
        <f t="shared" si="6"/>
        <v>#REF!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9.9</v>
      </c>
      <c r="L37" s="119">
        <f t="shared" si="1"/>
        <v>-9.9</v>
      </c>
      <c r="M37" s="217">
        <f t="shared" si="10"/>
        <v>0</v>
      </c>
      <c r="N37" s="137" t="e">
        <f>E37-#REF!</f>
        <v>#REF!</v>
      </c>
      <c r="O37" s="145" t="e">
        <f>F37-#REF!</f>
        <v>#REF!</v>
      </c>
      <c r="P37" s="36" t="e">
        <f t="shared" si="6"/>
        <v>#REF!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 t="shared" si="1"/>
        <v>2196.7700000000004</v>
      </c>
      <c r="M38" s="205">
        <f t="shared" si="10"/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8"/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 t="shared" si="1"/>
        <v>3.4699999999999998</v>
      </c>
      <c r="M39" s="218">
        <f t="shared" si="10"/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1" ref="Q39:Q62">O39/N39*100</f>
        <v>#REF!</v>
      </c>
      <c r="R39" s="37"/>
      <c r="S39" s="94"/>
      <c r="T39" s="147">
        <f t="shared" si="8"/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 aca="true" t="shared" si="12" ref="G40:G63">F40-E40</f>
        <v>0</v>
      </c>
      <c r="H40" s="164"/>
      <c r="I40" s="165">
        <f aca="true" t="shared" si="13" ref="I40:I63">F40-D40</f>
        <v>-30000</v>
      </c>
      <c r="J40" s="165">
        <f>F40/D40*100</f>
        <v>0</v>
      </c>
      <c r="K40" s="165">
        <v>0</v>
      </c>
      <c r="L40" s="165">
        <f t="shared" si="1"/>
        <v>0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4" ref="P40:P63">O40-N40</f>
        <v>#REF!</v>
      </c>
      <c r="Q40" s="165" t="e">
        <f t="shared" si="11"/>
        <v>#REF!</v>
      </c>
      <c r="R40" s="37"/>
      <c r="S40" s="94"/>
      <c r="T40" s="147">
        <f t="shared" si="8"/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 t="shared" si="12"/>
        <v>4.869999999999999</v>
      </c>
      <c r="H41" s="164">
        <f aca="true" t="shared" si="15" ref="H41:H62">F41/E41*100</f>
        <v>148.7</v>
      </c>
      <c r="I41" s="165">
        <f t="shared" si="13"/>
        <v>-25.130000000000003</v>
      </c>
      <c r="J41" s="165">
        <f aca="true" t="shared" si="16" ref="J41:J62">F41/D41*100</f>
        <v>37.175</v>
      </c>
      <c r="K41" s="165">
        <v>17.84</v>
      </c>
      <c r="L41" s="165">
        <f t="shared" si="1"/>
        <v>-2.9700000000000006</v>
      </c>
      <c r="M41" s="218">
        <f aca="true" t="shared" si="17" ref="M41:M63">F41/K41</f>
        <v>0.8335201793721972</v>
      </c>
      <c r="N41" s="164" t="e">
        <f>E41-#REF!</f>
        <v>#REF!</v>
      </c>
      <c r="O41" s="168" t="e">
        <f>F41-#REF!</f>
        <v>#REF!</v>
      </c>
      <c r="P41" s="167" t="e">
        <f t="shared" si="14"/>
        <v>#REF!</v>
      </c>
      <c r="Q41" s="165"/>
      <c r="R41" s="37"/>
      <c r="S41" s="94"/>
      <c r="T41" s="147">
        <f t="shared" si="8"/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18">
        <f t="shared" si="17"/>
        <v>0</v>
      </c>
      <c r="N42" s="164" t="e">
        <f>E42-#REF!</f>
        <v>#REF!</v>
      </c>
      <c r="O42" s="168" t="e">
        <f>F42-#REF!</f>
        <v>#REF!</v>
      </c>
      <c r="P42" s="167" t="e">
        <f t="shared" si="14"/>
        <v>#REF!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 t="shared" si="12"/>
        <v>-8.83</v>
      </c>
      <c r="H43" s="164">
        <f t="shared" si="15"/>
        <v>55.85</v>
      </c>
      <c r="I43" s="165">
        <f t="shared" si="13"/>
        <v>-248.83</v>
      </c>
      <c r="J43" s="165">
        <f t="shared" si="16"/>
        <v>4.296153846153846</v>
      </c>
      <c r="K43" s="165">
        <v>-6.4</v>
      </c>
      <c r="L43" s="165">
        <f t="shared" si="1"/>
        <v>17.57</v>
      </c>
      <c r="M43" s="218">
        <f t="shared" si="17"/>
        <v>-1.7453124999999998</v>
      </c>
      <c r="N43" s="164" t="e">
        <f>E43-#REF!</f>
        <v>#REF!</v>
      </c>
      <c r="O43" s="168" t="e">
        <f>F43-#REF!</f>
        <v>#REF!</v>
      </c>
      <c r="P43" s="167" t="e">
        <f t="shared" si="14"/>
        <v>#REF!</v>
      </c>
      <c r="Q43" s="165" t="e">
        <f t="shared" si="11"/>
        <v>#REF!</v>
      </c>
      <c r="R43" s="37"/>
      <c r="S43" s="94"/>
      <c r="T43" s="147">
        <f t="shared" si="8"/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 t="shared" si="12"/>
        <v>-6.8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8"/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 t="shared" si="12"/>
        <v>29.450000000000003</v>
      </c>
      <c r="H45" s="164">
        <f t="shared" si="15"/>
        <v>149.08333333333334</v>
      </c>
      <c r="I45" s="165">
        <f t="shared" si="13"/>
        <v>-640.55</v>
      </c>
      <c r="J45" s="165">
        <f t="shared" si="16"/>
        <v>12.253424657534246</v>
      </c>
      <c r="K45" s="165">
        <v>0</v>
      </c>
      <c r="L45" s="165">
        <f t="shared" si="1"/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4"/>
        <v>#REF!</v>
      </c>
      <c r="Q45" s="165" t="e">
        <f t="shared" si="11"/>
        <v>#REF!</v>
      </c>
      <c r="R45" s="37"/>
      <c r="S45" s="94"/>
      <c r="T45" s="147">
        <f t="shared" si="8"/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 t="shared" si="12"/>
        <v>452.55999999999995</v>
      </c>
      <c r="H47" s="164">
        <f t="shared" si="15"/>
        <v>175.42666666666668</v>
      </c>
      <c r="I47" s="165">
        <f t="shared" si="13"/>
        <v>-9947.44</v>
      </c>
      <c r="J47" s="165">
        <f t="shared" si="16"/>
        <v>9.568727272727271</v>
      </c>
      <c r="K47" s="165">
        <v>539.02</v>
      </c>
      <c r="L47" s="165">
        <f t="shared" si="1"/>
        <v>513.54</v>
      </c>
      <c r="M47" s="218">
        <f t="shared" si="17"/>
        <v>1.9527290267522541</v>
      </c>
      <c r="N47" s="164" t="e">
        <f>E47-#REF!</f>
        <v>#REF!</v>
      </c>
      <c r="O47" s="168" t="e">
        <f>F47-#REF!</f>
        <v>#REF!</v>
      </c>
      <c r="P47" s="167" t="e">
        <f t="shared" si="14"/>
        <v>#REF!</v>
      </c>
      <c r="Q47" s="165" t="e">
        <f t="shared" si="11"/>
        <v>#REF!</v>
      </c>
      <c r="R47" s="37"/>
      <c r="S47" s="94"/>
      <c r="T47" s="147">
        <f t="shared" si="8"/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 t="shared" si="12"/>
        <v>19.53</v>
      </c>
      <c r="H48" s="164">
        <f t="shared" si="15"/>
        <v>178.12</v>
      </c>
      <c r="I48" s="165">
        <f t="shared" si="13"/>
        <v>-265.47</v>
      </c>
      <c r="J48" s="165">
        <f t="shared" si="16"/>
        <v>14.364516129032259</v>
      </c>
      <c r="K48" s="165">
        <v>1.03</v>
      </c>
      <c r="L48" s="165">
        <f t="shared" si="1"/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4"/>
        <v>#REF!</v>
      </c>
      <c r="Q48" s="165"/>
      <c r="R48" s="37"/>
      <c r="S48" s="94"/>
      <c r="T48" s="147">
        <f t="shared" si="8"/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 t="shared" si="12"/>
        <v>-1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4"/>
        <v>#REF!</v>
      </c>
      <c r="Q49" s="165" t="e">
        <f t="shared" si="11"/>
        <v>#REF!</v>
      </c>
      <c r="R49" s="37"/>
      <c r="S49" s="94"/>
      <c r="T49" s="147">
        <f t="shared" si="8"/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 t="shared" si="12"/>
        <v>84.99000000000001</v>
      </c>
      <c r="H50" s="164">
        <f t="shared" si="15"/>
        <v>114.165</v>
      </c>
      <c r="I50" s="165">
        <f t="shared" si="13"/>
        <v>-6590.01</v>
      </c>
      <c r="J50" s="165">
        <f t="shared" si="16"/>
        <v>9.415670103092785</v>
      </c>
      <c r="K50" s="165">
        <v>716.23</v>
      </c>
      <c r="L50" s="165">
        <f t="shared" si="1"/>
        <v>-31.24000000000001</v>
      </c>
      <c r="M50" s="218">
        <f t="shared" si="17"/>
        <v>0.9563827262192313</v>
      </c>
      <c r="N50" s="164" t="e">
        <f>E50-#REF!</f>
        <v>#REF!</v>
      </c>
      <c r="O50" s="168" t="e">
        <f>F50-#REF!</f>
        <v>#REF!</v>
      </c>
      <c r="P50" s="167" t="e">
        <f t="shared" si="14"/>
        <v>#REF!</v>
      </c>
      <c r="Q50" s="165" t="e">
        <f t="shared" si="11"/>
        <v>#REF!</v>
      </c>
      <c r="R50" s="37"/>
      <c r="S50" s="94"/>
      <c r="T50" s="147">
        <f t="shared" si="8"/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 t="shared" si="12"/>
        <v>-14.909999999999997</v>
      </c>
      <c r="H51" s="164">
        <f t="shared" si="15"/>
        <v>72.89090909090909</v>
      </c>
      <c r="I51" s="165">
        <f t="shared" si="13"/>
        <v>-1159.91</v>
      </c>
      <c r="J51" s="165">
        <f t="shared" si="16"/>
        <v>3.3408333333333338</v>
      </c>
      <c r="K51" s="165">
        <v>408.2</v>
      </c>
      <c r="L51" s="165">
        <f t="shared" si="1"/>
        <v>-368.11</v>
      </c>
      <c r="M51" s="218">
        <f t="shared" si="17"/>
        <v>0.09821166095051446</v>
      </c>
      <c r="N51" s="164" t="e">
        <f>E51-#REF!</f>
        <v>#REF!</v>
      </c>
      <c r="O51" s="168" t="e">
        <f>F51-#REF!</f>
        <v>#REF!</v>
      </c>
      <c r="P51" s="167" t="e">
        <f t="shared" si="14"/>
        <v>#REF!</v>
      </c>
      <c r="Q51" s="165" t="e">
        <f t="shared" si="11"/>
        <v>#REF!</v>
      </c>
      <c r="R51" s="37"/>
      <c r="S51" s="94"/>
      <c r="T51" s="147">
        <f t="shared" si="8"/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 t="shared" si="12"/>
        <v>-7.189999999999998</v>
      </c>
      <c r="H52" s="30">
        <f t="shared" si="15"/>
        <v>82.025</v>
      </c>
      <c r="I52" s="104">
        <f t="shared" si="13"/>
        <v>-965.19</v>
      </c>
      <c r="J52" s="104">
        <f t="shared" si="16"/>
        <v>3.287575150300601</v>
      </c>
      <c r="K52" s="104">
        <v>25.99</v>
      </c>
      <c r="L52" s="104">
        <f>F52-K52</f>
        <v>6.820000000000004</v>
      </c>
      <c r="M52" s="109">
        <f t="shared" si="17"/>
        <v>1.2624086186995</v>
      </c>
      <c r="N52" s="105" t="e">
        <f>E52-#REF!</f>
        <v>#REF!</v>
      </c>
      <c r="O52" s="144" t="e">
        <f>F52-#REF!</f>
        <v>#REF!</v>
      </c>
      <c r="P52" s="106" t="e">
        <f t="shared" si="14"/>
        <v>#REF!</v>
      </c>
      <c r="Q52" s="119" t="e">
        <f t="shared" si="11"/>
        <v>#REF!</v>
      </c>
      <c r="R52" s="37"/>
      <c r="S52" s="94"/>
      <c r="T52" s="147">
        <f t="shared" si="8"/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 t="shared" si="12"/>
        <v>0.01</v>
      </c>
      <c r="H53" s="30" t="e">
        <f t="shared" si="15"/>
        <v>#DIV/0!</v>
      </c>
      <c r="I53" s="104">
        <f t="shared" si="13"/>
        <v>-0.99</v>
      </c>
      <c r="J53" s="104">
        <f t="shared" si="16"/>
        <v>1</v>
      </c>
      <c r="K53" s="104">
        <v>0.04</v>
      </c>
      <c r="L53" s="104">
        <f>F53-K53</f>
        <v>-0.03</v>
      </c>
      <c r="M53" s="109">
        <f t="shared" si="17"/>
        <v>0.25</v>
      </c>
      <c r="N53" s="105" t="e">
        <f>E53-#REF!</f>
        <v>#REF!</v>
      </c>
      <c r="O53" s="144" t="e">
        <f>F53-#REF!</f>
        <v>#REF!</v>
      </c>
      <c r="P53" s="106" t="e">
        <f t="shared" si="14"/>
        <v>#REF!</v>
      </c>
      <c r="Q53" s="119" t="e">
        <f t="shared" si="11"/>
        <v>#REF!</v>
      </c>
      <c r="R53" s="37"/>
      <c r="S53" s="94"/>
      <c r="T53" s="147">
        <f t="shared" si="8"/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05" t="e">
        <f>E54-#REF!</f>
        <v>#REF!</v>
      </c>
      <c r="O54" s="144" t="e">
        <f>F54-#REF!</f>
        <v>#REF!</v>
      </c>
      <c r="P54" s="106" t="e">
        <f t="shared" si="14"/>
        <v>#REF!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 t="shared" si="12"/>
        <v>-7.73</v>
      </c>
      <c r="H55" s="30">
        <f t="shared" si="15"/>
        <v>48.46666666666666</v>
      </c>
      <c r="I55" s="104">
        <f t="shared" si="13"/>
        <v>-192.73</v>
      </c>
      <c r="J55" s="104">
        <f t="shared" si="16"/>
        <v>3.6350000000000002</v>
      </c>
      <c r="K55" s="104">
        <v>382.17</v>
      </c>
      <c r="L55" s="104">
        <f>F55-K55</f>
        <v>-374.90000000000003</v>
      </c>
      <c r="M55" s="109">
        <f t="shared" si="17"/>
        <v>0.019022947902765784</v>
      </c>
      <c r="N55" s="105" t="e">
        <f>E55-#REF!</f>
        <v>#REF!</v>
      </c>
      <c r="O55" s="144" t="e">
        <f>F55-#REF!</f>
        <v>#REF!</v>
      </c>
      <c r="P55" s="106" t="e">
        <f t="shared" si="14"/>
        <v>#REF!</v>
      </c>
      <c r="Q55" s="119" t="e">
        <f t="shared" si="11"/>
        <v>#REF!</v>
      </c>
      <c r="R55" s="37"/>
      <c r="S55" s="94"/>
      <c r="T55" s="147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 t="shared" si="12"/>
        <v>1.67</v>
      </c>
      <c r="H56" s="164"/>
      <c r="I56" s="165">
        <f t="shared" si="13"/>
        <v>-0.8300000000000001</v>
      </c>
      <c r="J56" s="165">
        <f t="shared" si="16"/>
        <v>66.8</v>
      </c>
      <c r="K56" s="165">
        <v>0.17</v>
      </c>
      <c r="L56" s="165">
        <f>F56-K56</f>
        <v>1.5</v>
      </c>
      <c r="M56" s="218">
        <f t="shared" si="17"/>
        <v>9.823529411764705</v>
      </c>
      <c r="N56" s="164" t="e">
        <f>E56-#REF!</f>
        <v>#REF!</v>
      </c>
      <c r="O56" s="168" t="e">
        <f>F56-#REF!</f>
        <v>#REF!</v>
      </c>
      <c r="P56" s="167" t="e">
        <f t="shared" si="14"/>
        <v>#REF!</v>
      </c>
      <c r="Q56" s="165"/>
      <c r="R56" s="37"/>
      <c r="S56" s="94"/>
      <c r="T56" s="147">
        <f t="shared" si="8"/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 t="shared" si="12"/>
        <v>647.3299999999999</v>
      </c>
      <c r="H57" s="164">
        <f t="shared" si="15"/>
        <v>140.458125</v>
      </c>
      <c r="I57" s="165">
        <f t="shared" si="13"/>
        <v>-5102.67</v>
      </c>
      <c r="J57" s="165">
        <f t="shared" si="16"/>
        <v>30.575918367346937</v>
      </c>
      <c r="K57" s="165">
        <v>317.98</v>
      </c>
      <c r="L57" s="165">
        <f aca="true" t="shared" si="18" ref="L57:L63">F57-K57</f>
        <v>1929.35</v>
      </c>
      <c r="M57" s="218">
        <f t="shared" si="17"/>
        <v>7.067519969809421</v>
      </c>
      <c r="N57" s="164" t="e">
        <f>E57-#REF!</f>
        <v>#REF!</v>
      </c>
      <c r="O57" s="168" t="e">
        <f>F57-#REF!</f>
        <v>#REF!</v>
      </c>
      <c r="P57" s="167" t="e">
        <f t="shared" si="14"/>
        <v>#REF!</v>
      </c>
      <c r="Q57" s="165" t="e">
        <f t="shared" si="11"/>
        <v>#REF!</v>
      </c>
      <c r="R57" s="37"/>
      <c r="S57" s="94"/>
      <c r="T57" s="147">
        <f t="shared" si="8"/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 t="e">
        <f>E58-#REF!</f>
        <v>#REF!</v>
      </c>
      <c r="O58" s="168" t="e">
        <f>F58-#REF!</f>
        <v>#REF!</v>
      </c>
      <c r="P58" s="167" t="e">
        <f t="shared" si="14"/>
        <v>#REF!</v>
      </c>
      <c r="Q58" s="165" t="e">
        <f t="shared" si="11"/>
        <v>#REF!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 t="shared" si="18"/>
        <v>97.05000000000001</v>
      </c>
      <c r="M59" s="218">
        <f t="shared" si="17"/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 t="e">
        <f>E60-#REF!</f>
        <v>#REF!</v>
      </c>
      <c r="O60" s="168" t="e">
        <f>F60-#REF!</f>
        <v>#REF!</v>
      </c>
      <c r="P60" s="167" t="e">
        <f t="shared" si="14"/>
        <v>#REF!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 t="e">
        <f>E61-#REF!</f>
        <v>#REF!</v>
      </c>
      <c r="O61" s="168" t="e">
        <f>F61-#REF!</f>
        <v>#REF!</v>
      </c>
      <c r="P61" s="167" t="e">
        <f t="shared" si="14"/>
        <v>#REF!</v>
      </c>
      <c r="Q61" s="165"/>
      <c r="R61" s="37"/>
      <c r="S61" s="94"/>
      <c r="T61" s="147">
        <f t="shared" si="8"/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 t="shared" si="12"/>
        <v>0.29000000000000004</v>
      </c>
      <c r="H62" s="164">
        <f t="shared" si="15"/>
        <v>124.16666666666667</v>
      </c>
      <c r="I62" s="165">
        <f t="shared" si="13"/>
        <v>-13.51</v>
      </c>
      <c r="J62" s="165">
        <f t="shared" si="16"/>
        <v>9.933333333333334</v>
      </c>
      <c r="K62" s="165">
        <v>1</v>
      </c>
      <c r="L62" s="165">
        <f t="shared" si="18"/>
        <v>0.49</v>
      </c>
      <c r="M62" s="218">
        <f t="shared" si="17"/>
        <v>1.49</v>
      </c>
      <c r="N62" s="164" t="e">
        <f>E62-#REF!</f>
        <v>#REF!</v>
      </c>
      <c r="O62" s="168" t="e">
        <f>F62-#REF!</f>
        <v>#REF!</v>
      </c>
      <c r="P62" s="167" t="e">
        <f t="shared" si="14"/>
        <v>#REF!</v>
      </c>
      <c r="Q62" s="165" t="e">
        <f t="shared" si="11"/>
        <v>#REF!</v>
      </c>
      <c r="R62" s="37"/>
      <c r="S62" s="94"/>
      <c r="T62" s="147">
        <f t="shared" si="8"/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18">
        <f t="shared" si="17"/>
        <v>0</v>
      </c>
      <c r="N63" s="164" t="e">
        <f>E63-#REF!</f>
        <v>#REF!</v>
      </c>
      <c r="O63" s="168" t="e">
        <f>F63-#REF!</f>
        <v>#REF!</v>
      </c>
      <c r="P63" s="167" t="e">
        <f t="shared" si="14"/>
        <v>#REF!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8"/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8"/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 aca="true" t="shared" si="19" ref="G72:G84">F72-E72</f>
        <v>11.81</v>
      </c>
      <c r="H72" s="186"/>
      <c r="I72" s="187">
        <f aca="true" t="shared" si="20" ref="I72:I84">F72-D72</f>
        <v>11.81</v>
      </c>
      <c r="J72" s="187"/>
      <c r="K72" s="187">
        <v>0</v>
      </c>
      <c r="L72" s="187">
        <f aca="true" t="shared" si="21" ref="L72:L84">F72-K72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 t="shared" si="19"/>
        <v>0.04</v>
      </c>
      <c r="H73" s="164"/>
      <c r="I73" s="167">
        <f t="shared" si="20"/>
        <v>-3999.96</v>
      </c>
      <c r="J73" s="167">
        <f>F73/D73*100</f>
        <v>0.001</v>
      </c>
      <c r="K73" s="167">
        <v>0.06</v>
      </c>
      <c r="L73" s="167">
        <f t="shared" si="21"/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 aca="true" t="shared" si="22" ref="P73:P86">O73-N73</f>
        <v>#REF!</v>
      </c>
      <c r="Q73" s="167" t="e">
        <f>O73/N73*100</f>
        <v>#REF!</v>
      </c>
      <c r="R73" s="38"/>
      <c r="S73" s="97"/>
      <c r="T73" s="147">
        <f t="shared" si="8"/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 t="shared" si="19"/>
        <v>-598.1</v>
      </c>
      <c r="H74" s="164">
        <f>F74/E74*100</f>
        <v>0.31666666666666665</v>
      </c>
      <c r="I74" s="167">
        <f t="shared" si="20"/>
        <v>-7998.1</v>
      </c>
      <c r="J74" s="167">
        <f>F74/D74*100</f>
        <v>0.02375</v>
      </c>
      <c r="K74" s="167">
        <v>22.91</v>
      </c>
      <c r="L74" s="167">
        <f t="shared" si="21"/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 t="shared" si="22"/>
        <v>#REF!</v>
      </c>
      <c r="Q74" s="167" t="e">
        <f>O74/N74*100</f>
        <v>#REF!</v>
      </c>
      <c r="R74" s="38"/>
      <c r="S74" s="97"/>
      <c r="T74" s="147">
        <f aca="true" t="shared" si="23" ref="T74:T90">D74-E74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 t="shared" si="19"/>
        <v>-309.88</v>
      </c>
      <c r="H75" s="164">
        <f>F75/E75*100</f>
        <v>22.53</v>
      </c>
      <c r="I75" s="167">
        <f t="shared" si="20"/>
        <v>-9909.88</v>
      </c>
      <c r="J75" s="167">
        <f>F75/D75*100</f>
        <v>0.9012000000000001</v>
      </c>
      <c r="K75" s="167">
        <v>282.85</v>
      </c>
      <c r="L75" s="167">
        <f t="shared" si="21"/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 t="shared" si="22"/>
        <v>#REF!</v>
      </c>
      <c r="Q75" s="167" t="e">
        <f>O75/N75*100</f>
        <v>#REF!</v>
      </c>
      <c r="R75" s="38"/>
      <c r="S75" s="97"/>
      <c r="T75" s="147">
        <f t="shared" si="23"/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 t="shared" si="19"/>
        <v>0</v>
      </c>
      <c r="H76" s="164">
        <f>F76/E76*100</f>
        <v>100</v>
      </c>
      <c r="I76" s="167">
        <f t="shared" si="20"/>
        <v>-11</v>
      </c>
      <c r="J76" s="167">
        <f>F76/D76*100</f>
        <v>8.333333333333332</v>
      </c>
      <c r="K76" s="167">
        <v>1</v>
      </c>
      <c r="L76" s="167">
        <f t="shared" si="21"/>
        <v>0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2"/>
        <v>#REF!</v>
      </c>
      <c r="Q76" s="167" t="e">
        <f>O76/N76*100</f>
        <v>#REF!</v>
      </c>
      <c r="R76" s="38"/>
      <c r="S76" s="136"/>
      <c r="T76" s="147">
        <f t="shared" si="23"/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 t="shared" si="19"/>
        <v>-907.94</v>
      </c>
      <c r="H77" s="186">
        <f>F77/E77*100</f>
        <v>9.296703296703297</v>
      </c>
      <c r="I77" s="187">
        <f t="shared" si="20"/>
        <v>-21918.94</v>
      </c>
      <c r="J77" s="187">
        <f>F77/D77*100</f>
        <v>0.42276939850990375</v>
      </c>
      <c r="K77" s="187">
        <v>306.82</v>
      </c>
      <c r="L77" s="187">
        <f t="shared" si="21"/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 t="shared" si="22"/>
        <v>#REF!</v>
      </c>
      <c r="Q77" s="187" t="e">
        <f>O77/N77*100</f>
        <v>#REF!</v>
      </c>
      <c r="R77" s="39"/>
      <c r="S77" s="116"/>
      <c r="T77" s="147">
        <f t="shared" si="23"/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 t="shared" si="19"/>
        <v>0.34</v>
      </c>
      <c r="H78" s="164"/>
      <c r="I78" s="167">
        <f t="shared" si="20"/>
        <v>-39.66</v>
      </c>
      <c r="J78" s="167"/>
      <c r="K78" s="167">
        <v>0</v>
      </c>
      <c r="L78" s="167">
        <f t="shared" si="21"/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 t="shared" si="22"/>
        <v>#REF!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2"/>
        <v>#REF!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 t="shared" si="19"/>
        <v>3.9800000000000004</v>
      </c>
      <c r="H80" s="164">
        <f>F80/E80*100</f>
        <v>153.06666666666666</v>
      </c>
      <c r="I80" s="167">
        <f t="shared" si="20"/>
        <v>-8348.52</v>
      </c>
      <c r="J80" s="167">
        <f>F80/D80*100</f>
        <v>0.13732057416267943</v>
      </c>
      <c r="K80" s="167">
        <v>0</v>
      </c>
      <c r="L80" s="167">
        <f t="shared" si="21"/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3"/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09">
        <f aca="true" t="shared" si="24" ref="M81:M86">F81/K81</f>
        <v>0</v>
      </c>
      <c r="N81" s="164" t="e">
        <f>E81-#REF!</f>
        <v>#REF!</v>
      </c>
      <c r="O81" s="168" t="e">
        <f>F81-#REF!</f>
        <v>#REF!</v>
      </c>
      <c r="P81" s="167" t="e">
        <f t="shared" si="22"/>
        <v>#REF!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 t="shared" si="20"/>
        <v>-8388.18</v>
      </c>
      <c r="J82" s="187">
        <f>F82/D82*100</f>
        <v>0.14071428571428574</v>
      </c>
      <c r="K82" s="187">
        <v>0.12</v>
      </c>
      <c r="L82" s="187">
        <f t="shared" si="21"/>
        <v>11.700000000000001</v>
      </c>
      <c r="M82" s="220">
        <f t="shared" si="24"/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3"/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 t="shared" si="19"/>
        <v>-2.06</v>
      </c>
      <c r="H83" s="164">
        <f>F83/E83*100</f>
        <v>14.16666666666667</v>
      </c>
      <c r="I83" s="167">
        <f t="shared" si="20"/>
        <v>-37.66</v>
      </c>
      <c r="J83" s="167">
        <f>F83/D83*100</f>
        <v>0.8947368421052633</v>
      </c>
      <c r="K83" s="167">
        <v>0.35</v>
      </c>
      <c r="L83" s="167">
        <f t="shared" si="21"/>
        <v>-0.009999999999999953</v>
      </c>
      <c r="M83" s="209">
        <f t="shared" si="24"/>
        <v>0.9714285714285715</v>
      </c>
      <c r="N83" s="164" t="e">
        <f>E83-#REF!</f>
        <v>#REF!</v>
      </c>
      <c r="O83" s="168" t="e">
        <f>F83-#REF!</f>
        <v>#REF!</v>
      </c>
      <c r="P83" s="167" t="e">
        <f t="shared" si="22"/>
        <v>#REF!</v>
      </c>
      <c r="Q83" s="167" t="e">
        <f>O83/N83</f>
        <v>#REF!</v>
      </c>
      <c r="R83" s="38"/>
      <c r="S83" s="97"/>
      <c r="T83" s="147">
        <f t="shared" si="23"/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 t="shared" si="19"/>
        <v>0</v>
      </c>
      <c r="H84" s="164"/>
      <c r="I84" s="167">
        <f t="shared" si="20"/>
        <v>0</v>
      </c>
      <c r="J84" s="167"/>
      <c r="K84" s="167">
        <v>0</v>
      </c>
      <c r="L84" s="167">
        <f t="shared" si="21"/>
        <v>0</v>
      </c>
      <c r="M84" s="167" t="e">
        <f t="shared" si="24"/>
        <v>#DIV/0!</v>
      </c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 t="shared" si="24"/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 t="shared" si="24"/>
        <v>1.5605560036841895</v>
      </c>
      <c r="N86" s="192" t="e">
        <f>N64+N85</f>
        <v>#REF!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1289573.7000000002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13"/>
      <c r="H89" s="313"/>
      <c r="I89" s="313"/>
      <c r="J89" s="313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03"/>
      <c r="P90" s="303"/>
      <c r="T90" s="147">
        <f t="shared" si="23"/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297"/>
      <c r="H91" s="297"/>
      <c r="I91" s="118"/>
      <c r="J91" s="300"/>
      <c r="K91" s="300"/>
      <c r="L91" s="300"/>
      <c r="M91" s="300"/>
      <c r="N91" s="300"/>
      <c r="O91" s="303"/>
      <c r="P91" s="303"/>
    </row>
    <row r="92" spans="3:16" ht="15.75" customHeight="1">
      <c r="C92" s="81">
        <v>42762</v>
      </c>
      <c r="D92" s="29">
        <v>8862.4</v>
      </c>
      <c r="F92" s="68"/>
      <c r="G92" s="297"/>
      <c r="H92" s="297"/>
      <c r="I92" s="118"/>
      <c r="J92" s="304"/>
      <c r="K92" s="304"/>
      <c r="L92" s="304"/>
      <c r="M92" s="304"/>
      <c r="N92" s="304"/>
      <c r="O92" s="303"/>
      <c r="P92" s="303"/>
    </row>
    <row r="93" spans="3:14" ht="15.75" customHeight="1">
      <c r="C93" s="81"/>
      <c r="F93" s="68"/>
      <c r="G93" s="299"/>
      <c r="H93" s="299"/>
      <c r="I93" s="124"/>
      <c r="J93" s="300"/>
      <c r="K93" s="300"/>
      <c r="L93" s="300"/>
      <c r="M93" s="300"/>
      <c r="N93" s="300"/>
    </row>
    <row r="94" spans="2:14" ht="18.75" customHeight="1">
      <c r="B94" s="301" t="s">
        <v>56</v>
      </c>
      <c r="C94" s="302"/>
      <c r="D94" s="133">
        <f>9505303.41/1000</f>
        <v>9505.30341</v>
      </c>
      <c r="E94" s="69"/>
      <c r="F94" s="125" t="s">
        <v>107</v>
      </c>
      <c r="G94" s="297"/>
      <c r="H94" s="297"/>
      <c r="I94" s="126"/>
      <c r="J94" s="300"/>
      <c r="K94" s="300"/>
      <c r="L94" s="300"/>
      <c r="M94" s="300"/>
      <c r="N94" s="300"/>
    </row>
    <row r="95" spans="6:13" ht="9.75" customHeight="1">
      <c r="F95" s="68"/>
      <c r="G95" s="297"/>
      <c r="H95" s="297"/>
      <c r="I95" s="68"/>
      <c r="J95" s="69"/>
      <c r="K95" s="69"/>
      <c r="L95" s="69"/>
      <c r="M95" s="69"/>
    </row>
    <row r="96" spans="2:13" ht="22.5" customHeight="1" hidden="1">
      <c r="B96" s="295" t="s">
        <v>59</v>
      </c>
      <c r="C96" s="296"/>
      <c r="D96" s="80">
        <v>0</v>
      </c>
      <c r="E96" s="51" t="s">
        <v>24</v>
      </c>
      <c r="F96" s="68"/>
      <c r="G96" s="297"/>
      <c r="H96" s="29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98"/>
      <c r="P98" s="29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 aca="true" t="shared" si="25" ref="K100:P100">K40+K41+K43+K45+K47+K48+K49+K50+K51+K57+K61+K44</f>
        <v>2026.0900000000001</v>
      </c>
      <c r="L100" s="29">
        <f t="shared" si="25"/>
        <v>2191.7899999999995</v>
      </c>
      <c r="M100" s="29">
        <f t="shared" si="25"/>
        <v>10.18479694691847</v>
      </c>
      <c r="N100" s="29" t="e">
        <f t="shared" si="25"/>
        <v>#REF!</v>
      </c>
      <c r="O100" s="229" t="e">
        <f t="shared" si="25"/>
        <v>#REF!</v>
      </c>
      <c r="P100" s="29" t="e">
        <f t="shared" si="25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97356.5</v>
      </c>
      <c r="F101" s="229">
        <f t="shared" si="26"/>
        <v>98086.19</v>
      </c>
      <c r="G101" s="29">
        <f t="shared" si="26"/>
        <v>729.6900000000005</v>
      </c>
      <c r="H101" s="230">
        <f>F101/E101</f>
        <v>1.007495031148408</v>
      </c>
      <c r="I101" s="29">
        <f t="shared" si="26"/>
        <v>-1259404.9100000001</v>
      </c>
      <c r="J101" s="230">
        <f>F101/D101</f>
        <v>0.07225549397708758</v>
      </c>
      <c r="K101" s="29">
        <f t="shared" si="26"/>
        <v>2026.0900000000001</v>
      </c>
      <c r="L101" s="29">
        <f t="shared" si="26"/>
        <v>2191.7899999999995</v>
      </c>
      <c r="M101" s="29">
        <f t="shared" si="26"/>
        <v>10.18479694691847</v>
      </c>
      <c r="N101" s="29" t="e">
        <f t="shared" si="26"/>
        <v>#REF!</v>
      </c>
      <c r="O101" s="229" t="e">
        <f t="shared" si="26"/>
        <v>#REF!</v>
      </c>
      <c r="P101" s="29" t="e">
        <f t="shared" si="26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1.8189894035458565E-12</v>
      </c>
      <c r="H102" s="230"/>
      <c r="I102" s="29">
        <f t="shared" si="27"/>
        <v>0</v>
      </c>
      <c r="J102" s="230"/>
      <c r="K102" s="29">
        <f t="shared" si="27"/>
        <v>60586.5</v>
      </c>
      <c r="L102" s="29">
        <f t="shared" si="27"/>
        <v>33281.810000000005</v>
      </c>
      <c r="M102" s="29">
        <f t="shared" si="27"/>
        <v>-8.618239965327387</v>
      </c>
      <c r="N102" s="29" t="e">
        <f t="shared" si="27"/>
        <v>#REF!</v>
      </c>
      <c r="O102" s="29" t="e">
        <f t="shared" si="27"/>
        <v>#REF!</v>
      </c>
      <c r="P102" s="29" t="e">
        <f t="shared" si="27"/>
        <v>#REF!</v>
      </c>
      <c r="Q102" s="29"/>
      <c r="R102" s="29" t="e">
        <f t="shared" si="27"/>
        <v>#REF!</v>
      </c>
      <c r="S102" s="29" t="e">
        <f t="shared" si="27"/>
        <v>#REF!</v>
      </c>
      <c r="T102" s="29">
        <f t="shared" si="27"/>
        <v>1260134.6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63" sqref="B6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20" t="s">
        <v>132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7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2"/>
      <c r="B3" s="324"/>
      <c r="C3" s="325" t="s">
        <v>0</v>
      </c>
      <c r="D3" s="326" t="s">
        <v>126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129</v>
      </c>
      <c r="O3" s="331" t="s">
        <v>125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127</v>
      </c>
      <c r="F4" s="314" t="s">
        <v>33</v>
      </c>
      <c r="G4" s="305" t="s">
        <v>128</v>
      </c>
      <c r="H4" s="316" t="s">
        <v>122</v>
      </c>
      <c r="I4" s="305" t="s">
        <v>103</v>
      </c>
      <c r="J4" s="316" t="s">
        <v>104</v>
      </c>
      <c r="K4" s="85" t="s">
        <v>114</v>
      </c>
      <c r="L4" s="204" t="s">
        <v>113</v>
      </c>
      <c r="M4" s="90" t="s">
        <v>63</v>
      </c>
      <c r="N4" s="316"/>
      <c r="O4" s="318" t="s">
        <v>133</v>
      </c>
      <c r="P4" s="305" t="s">
        <v>49</v>
      </c>
      <c r="Q4" s="307" t="s">
        <v>48</v>
      </c>
      <c r="R4" s="91" t="s">
        <v>64</v>
      </c>
      <c r="S4" s="92" t="s">
        <v>63</v>
      </c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130</v>
      </c>
      <c r="L5" s="309"/>
      <c r="M5" s="310"/>
      <c r="N5" s="317"/>
      <c r="O5" s="319"/>
      <c r="P5" s="306"/>
      <c r="Q5" s="307"/>
      <c r="R5" s="308" t="s">
        <v>102</v>
      </c>
      <c r="S5" s="31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 aca="true" t="shared" si="0" ref="G8:G37">F8-E8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 aca="true" t="shared" si="1" ref="L8:L51">F8-K8</f>
        <v>312102.93000000005</v>
      </c>
      <c r="M8" s="205">
        <f aca="true" t="shared" si="2" ref="M8:M28">F8/K8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 t="shared" si="0"/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 t="shared" si="1"/>
        <v>169104.01000000007</v>
      </c>
      <c r="M9" s="206">
        <f t="shared" si="2"/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 aca="true" t="shared" si="3" ref="E10:E19">D10</f>
        <v>485209</v>
      </c>
      <c r="F10" s="140">
        <v>476189.93</v>
      </c>
      <c r="G10" s="103">
        <f t="shared" si="0"/>
        <v>-9019.070000000007</v>
      </c>
      <c r="H10" s="30">
        <f aca="true" t="shared" si="4" ref="H10:H36">F10/E10*100</f>
        <v>98.14119894725778</v>
      </c>
      <c r="I10" s="104">
        <f aca="true" t="shared" si="5" ref="I10:I37">F10-D10</f>
        <v>-9019.070000000007</v>
      </c>
      <c r="J10" s="104">
        <f aca="true" t="shared" si="6" ref="J10:J36">F10/D10*100</f>
        <v>98.14119894725778</v>
      </c>
      <c r="K10" s="106">
        <v>329938.9</v>
      </c>
      <c r="L10" s="106">
        <f t="shared" si="1"/>
        <v>146251.02999999997</v>
      </c>
      <c r="M10" s="207">
        <f t="shared" si="2"/>
        <v>1.4432670109526338</v>
      </c>
      <c r="N10" s="105" t="e">
        <f>E10-#REF!</f>
        <v>#REF!</v>
      </c>
      <c r="O10" s="144" t="e">
        <f>F10-#REF!</f>
        <v>#REF!</v>
      </c>
      <c r="P10" s="106" t="e">
        <f aca="true" t="shared" si="7" ref="P10:P37">O10-N10</f>
        <v>#REF!</v>
      </c>
      <c r="Q10" s="158" t="e">
        <f aca="true" t="shared" si="8" ref="Q10:Q16">O10/N10*100</f>
        <v>#REF!</v>
      </c>
      <c r="R10" s="37"/>
      <c r="S10" s="94"/>
      <c r="T10" s="147">
        <f aca="true" t="shared" si="9" ref="T10:T73">D10-E10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 t="shared" si="3"/>
        <v>30005.4</v>
      </c>
      <c r="F11" s="140">
        <v>42401.33</v>
      </c>
      <c r="G11" s="103">
        <f t="shared" si="0"/>
        <v>12395.93</v>
      </c>
      <c r="H11" s="30">
        <f t="shared" si="4"/>
        <v>141.31233044718616</v>
      </c>
      <c r="I11" s="104">
        <f t="shared" si="5"/>
        <v>12395.93</v>
      </c>
      <c r="J11" s="104">
        <f t="shared" si="6"/>
        <v>141.31233044718616</v>
      </c>
      <c r="K11" s="106">
        <v>20742.02</v>
      </c>
      <c r="L11" s="106">
        <f t="shared" si="1"/>
        <v>21659.31</v>
      </c>
      <c r="M11" s="207">
        <f t="shared" si="2"/>
        <v>2.0442237544848574</v>
      </c>
      <c r="N11" s="105" t="e">
        <f>E11-#REF!</f>
        <v>#REF!</v>
      </c>
      <c r="O11" s="144" t="e">
        <f>F11-#REF!</f>
        <v>#REF!</v>
      </c>
      <c r="P11" s="106" t="e">
        <f t="shared" si="7"/>
        <v>#REF!</v>
      </c>
      <c r="Q11" s="158" t="e">
        <f t="shared" si="8"/>
        <v>#REF!</v>
      </c>
      <c r="R11" s="37"/>
      <c r="S11" s="94"/>
      <c r="T11" s="147">
        <f t="shared" si="9"/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 t="shared" si="3"/>
        <v>6500</v>
      </c>
      <c r="F12" s="140">
        <v>10663.92</v>
      </c>
      <c r="G12" s="103">
        <f t="shared" si="0"/>
        <v>4163.92</v>
      </c>
      <c r="H12" s="30">
        <f t="shared" si="4"/>
        <v>164.06030769230767</v>
      </c>
      <c r="I12" s="104">
        <f t="shared" si="5"/>
        <v>4163.92</v>
      </c>
      <c r="J12" s="104">
        <f t="shared" si="6"/>
        <v>164.06030769230767</v>
      </c>
      <c r="K12" s="106">
        <v>5604.18</v>
      </c>
      <c r="L12" s="106">
        <f t="shared" si="1"/>
        <v>5059.74</v>
      </c>
      <c r="M12" s="207">
        <f t="shared" si="2"/>
        <v>1.9028510861535495</v>
      </c>
      <c r="N12" s="105" t="e">
        <f>E12-#REF!</f>
        <v>#REF!</v>
      </c>
      <c r="O12" s="144" t="e">
        <f>F12-#REF!</f>
        <v>#REF!</v>
      </c>
      <c r="P12" s="106" t="e">
        <f t="shared" si="7"/>
        <v>#REF!</v>
      </c>
      <c r="Q12" s="158" t="e">
        <f t="shared" si="8"/>
        <v>#REF!</v>
      </c>
      <c r="R12" s="37"/>
      <c r="S12" s="94"/>
      <c r="T12" s="147">
        <f t="shared" si="9"/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 t="shared" si="3"/>
        <v>12400</v>
      </c>
      <c r="F13" s="140">
        <v>9532.64</v>
      </c>
      <c r="G13" s="103">
        <f t="shared" si="0"/>
        <v>-2867.3600000000006</v>
      </c>
      <c r="H13" s="30">
        <f t="shared" si="4"/>
        <v>76.87612903225805</v>
      </c>
      <c r="I13" s="104">
        <f t="shared" si="5"/>
        <v>-2867.3600000000006</v>
      </c>
      <c r="J13" s="104">
        <f t="shared" si="6"/>
        <v>76.87612903225805</v>
      </c>
      <c r="K13" s="106">
        <v>7282.62</v>
      </c>
      <c r="L13" s="106">
        <f t="shared" si="1"/>
        <v>2250.0199999999995</v>
      </c>
      <c r="M13" s="207">
        <f t="shared" si="2"/>
        <v>1.3089574905734473</v>
      </c>
      <c r="N13" s="105" t="e">
        <f>E13-#REF!</f>
        <v>#REF!</v>
      </c>
      <c r="O13" s="144" t="e">
        <f>F13-#REF!</f>
        <v>#REF!</v>
      </c>
      <c r="P13" s="106" t="e">
        <f t="shared" si="7"/>
        <v>#REF!</v>
      </c>
      <c r="Q13" s="158" t="e">
        <f t="shared" si="8"/>
        <v>#REF!</v>
      </c>
      <c r="R13" s="37"/>
      <c r="S13" s="94"/>
      <c r="T13" s="147">
        <f t="shared" si="9"/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 t="shared" si="3"/>
        <v>3480</v>
      </c>
      <c r="F14" s="140">
        <v>3120.73</v>
      </c>
      <c r="G14" s="103">
        <f t="shared" si="0"/>
        <v>-359.27</v>
      </c>
      <c r="H14" s="30">
        <f t="shared" si="4"/>
        <v>89.67614942528735</v>
      </c>
      <c r="I14" s="104">
        <f t="shared" si="5"/>
        <v>-359.27</v>
      </c>
      <c r="J14" s="104">
        <f t="shared" si="6"/>
        <v>89.67614942528735</v>
      </c>
      <c r="K14" s="106">
        <v>9236.82</v>
      </c>
      <c r="L14" s="106">
        <f t="shared" si="1"/>
        <v>-6116.09</v>
      </c>
      <c r="M14" s="207">
        <f t="shared" si="2"/>
        <v>0.337857617664954</v>
      </c>
      <c r="N14" s="105" t="e">
        <f>E14-#REF!</f>
        <v>#REF!</v>
      </c>
      <c r="O14" s="144" t="e">
        <f>F14-#REF!</f>
        <v>#REF!</v>
      </c>
      <c r="P14" s="106" t="e">
        <f t="shared" si="7"/>
        <v>#REF!</v>
      </c>
      <c r="Q14" s="158" t="e">
        <f t="shared" si="8"/>
        <v>#REF!</v>
      </c>
      <c r="R14" s="37"/>
      <c r="S14" s="94"/>
      <c r="T14" s="147">
        <f t="shared" si="9"/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 t="shared" si="3"/>
        <v>500</v>
      </c>
      <c r="F15" s="156">
        <v>459.29</v>
      </c>
      <c r="G15" s="150">
        <f t="shared" si="0"/>
        <v>-40.70999999999998</v>
      </c>
      <c r="H15" s="157">
        <f>F15/E15*100</f>
        <v>91.858</v>
      </c>
      <c r="I15" s="158">
        <f t="shared" si="5"/>
        <v>-40.70999999999998</v>
      </c>
      <c r="J15" s="158">
        <f t="shared" si="6"/>
        <v>91.858</v>
      </c>
      <c r="K15" s="161">
        <v>-522.93</v>
      </c>
      <c r="L15" s="161">
        <f t="shared" si="1"/>
        <v>982.22</v>
      </c>
      <c r="M15" s="208">
        <f t="shared" si="2"/>
        <v>-0.8783011110473679</v>
      </c>
      <c r="N15" s="157" t="e">
        <f>E15-#REF!</f>
        <v>#REF!</v>
      </c>
      <c r="O15" s="160" t="e">
        <f>F15-#REF!</f>
        <v>#REF!</v>
      </c>
      <c r="P15" s="161" t="e">
        <f t="shared" si="7"/>
        <v>#REF!</v>
      </c>
      <c r="Q15" s="158" t="e">
        <f t="shared" si="8"/>
        <v>#REF!</v>
      </c>
      <c r="R15" s="37"/>
      <c r="S15" s="94"/>
      <c r="T15" s="147">
        <f t="shared" si="9"/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 t="shared" si="3"/>
        <v>0</v>
      </c>
      <c r="F16" s="140">
        <v>0</v>
      </c>
      <c r="G16" s="34">
        <f t="shared" si="0"/>
        <v>0</v>
      </c>
      <c r="H16" s="30" t="e">
        <f t="shared" si="4"/>
        <v>#DIV/0!</v>
      </c>
      <c r="I16" s="37">
        <f t="shared" si="5"/>
        <v>0</v>
      </c>
      <c r="J16" s="37" t="e">
        <f t="shared" si="6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 t="e">
        <f>E16-#REF!</f>
        <v>#REF!</v>
      </c>
      <c r="O16" s="160" t="e">
        <f>F16-#REF!</f>
        <v>#REF!</v>
      </c>
      <c r="P16" s="36" t="e">
        <f t="shared" si="7"/>
        <v>#REF!</v>
      </c>
      <c r="Q16" s="158" t="e">
        <f t="shared" si="8"/>
        <v>#REF!</v>
      </c>
      <c r="R16" s="104" t="e">
        <f>O16-358.81</f>
        <v>#REF!</v>
      </c>
      <c r="S16" s="109" t="e">
        <f>O16/358.79</f>
        <v>#REF!</v>
      </c>
      <c r="T16" s="147">
        <f t="shared" si="9"/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 t="shared" si="3"/>
        <v>0</v>
      </c>
      <c r="F17" s="163">
        <v>0.17</v>
      </c>
      <c r="G17" s="162">
        <f t="shared" si="0"/>
        <v>0.17</v>
      </c>
      <c r="H17" s="164"/>
      <c r="I17" s="165">
        <f t="shared" si="5"/>
        <v>0.17</v>
      </c>
      <c r="J17" s="165"/>
      <c r="K17" s="167">
        <v>0.14</v>
      </c>
      <c r="L17" s="161">
        <f t="shared" si="1"/>
        <v>0.03</v>
      </c>
      <c r="M17" s="208">
        <f t="shared" si="2"/>
        <v>1.2142857142857142</v>
      </c>
      <c r="N17" s="157" t="e">
        <f>E17-#REF!</f>
        <v>#REF!</v>
      </c>
      <c r="O17" s="160" t="e">
        <f>F17-#REF!</f>
        <v>#REF!</v>
      </c>
      <c r="P17" s="167" t="e">
        <f t="shared" si="7"/>
        <v>#REF!</v>
      </c>
      <c r="Q17" s="158"/>
      <c r="R17" s="104"/>
      <c r="S17" s="109"/>
      <c r="T17" s="147">
        <f t="shared" si="9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 t="shared" si="3"/>
        <v>105.8</v>
      </c>
      <c r="F18" s="156">
        <v>124.7</v>
      </c>
      <c r="G18" s="150">
        <f t="shared" si="0"/>
        <v>18.900000000000006</v>
      </c>
      <c r="H18" s="157">
        <f t="shared" si="4"/>
        <v>117.86389413988658</v>
      </c>
      <c r="I18" s="158">
        <f t="shared" si="5"/>
        <v>18.900000000000006</v>
      </c>
      <c r="J18" s="158">
        <f t="shared" si="6"/>
        <v>117.86389413988658</v>
      </c>
      <c r="K18" s="161">
        <v>107.4</v>
      </c>
      <c r="L18" s="161">
        <f t="shared" si="1"/>
        <v>17.299999999999997</v>
      </c>
      <c r="M18" s="208">
        <f t="shared" si="2"/>
        <v>1.1610800744878957</v>
      </c>
      <c r="N18" s="157" t="e">
        <f>E18-#REF!</f>
        <v>#REF!</v>
      </c>
      <c r="O18" s="160" t="e">
        <f>F18-#REF!</f>
        <v>#REF!</v>
      </c>
      <c r="P18" s="161" t="e">
        <f t="shared" si="7"/>
        <v>#REF!</v>
      </c>
      <c r="Q18" s="158"/>
      <c r="R18" s="37"/>
      <c r="S18" s="94"/>
      <c r="T18" s="147">
        <f t="shared" si="9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 t="shared" si="3"/>
        <v>101000</v>
      </c>
      <c r="F19" s="156">
        <v>101799.72</v>
      </c>
      <c r="G19" s="150">
        <f t="shared" si="0"/>
        <v>799.7200000000012</v>
      </c>
      <c r="H19" s="157">
        <f t="shared" si="4"/>
        <v>100.79180198019802</v>
      </c>
      <c r="I19" s="158">
        <f t="shared" si="5"/>
        <v>799.7200000000012</v>
      </c>
      <c r="J19" s="158">
        <f t="shared" si="6"/>
        <v>100.79180198019802</v>
      </c>
      <c r="K19" s="169">
        <v>70426.38</v>
      </c>
      <c r="L19" s="161">
        <f t="shared" si="1"/>
        <v>31373.339999999997</v>
      </c>
      <c r="M19" s="213">
        <f t="shared" si="2"/>
        <v>1.4454771067318808</v>
      </c>
      <c r="N19" s="157" t="e">
        <f>E19-#REF!</f>
        <v>#REF!</v>
      </c>
      <c r="O19" s="160" t="e">
        <f>F19-#REF!</f>
        <v>#REF!</v>
      </c>
      <c r="P19" s="161" t="e">
        <f t="shared" si="7"/>
        <v>#REF!</v>
      </c>
      <c r="Q19" s="158" t="e">
        <f aca="true" t="shared" si="10" ref="Q19:Q24">O19/N19*100</f>
        <v>#REF!</v>
      </c>
      <c r="R19" s="107"/>
      <c r="S19" s="108"/>
      <c r="T19" s="147">
        <f t="shared" si="9"/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 t="shared" si="0"/>
        <v>4343.859999999986</v>
      </c>
      <c r="H20" s="157">
        <f t="shared" si="4"/>
        <v>101.2922014881917</v>
      </c>
      <c r="I20" s="158">
        <f t="shared" si="5"/>
        <v>4343.859999999986</v>
      </c>
      <c r="J20" s="158">
        <f t="shared" si="6"/>
        <v>101.2922014881917</v>
      </c>
      <c r="K20" s="158">
        <v>223108.59</v>
      </c>
      <c r="L20" s="161">
        <f t="shared" si="1"/>
        <v>117394.92000000001</v>
      </c>
      <c r="M20" s="209">
        <f t="shared" si="2"/>
        <v>1.5261783959102606</v>
      </c>
      <c r="N20" s="157" t="e">
        <f>N21+N30+N31+N32</f>
        <v>#REF!</v>
      </c>
      <c r="O20" s="160" t="e">
        <f>F20-#REF!</f>
        <v>#REF!</v>
      </c>
      <c r="P20" s="161" t="e">
        <f t="shared" si="7"/>
        <v>#REF!</v>
      </c>
      <c r="Q20" s="158" t="e">
        <f t="shared" si="10"/>
        <v>#REF!</v>
      </c>
      <c r="R20" s="107"/>
      <c r="S20" s="108"/>
      <c r="T20" s="147">
        <f t="shared" si="9"/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 t="shared" si="0"/>
        <v>1750.4000000000233</v>
      </c>
      <c r="H21" s="157">
        <f t="shared" si="4"/>
        <v>100.96951086614862</v>
      </c>
      <c r="I21" s="158">
        <f t="shared" si="5"/>
        <v>1750.4000000000233</v>
      </c>
      <c r="J21" s="158">
        <f t="shared" si="6"/>
        <v>100.96951086614862</v>
      </c>
      <c r="K21" s="158">
        <v>119601.42</v>
      </c>
      <c r="L21" s="161">
        <f t="shared" si="1"/>
        <v>62693.63000000002</v>
      </c>
      <c r="M21" s="209">
        <f t="shared" si="2"/>
        <v>1.524188007132357</v>
      </c>
      <c r="N21" s="157" t="e">
        <f>N22+N25+N26</f>
        <v>#REF!</v>
      </c>
      <c r="O21" s="160" t="e">
        <f>F21-#REF!</f>
        <v>#REF!</v>
      </c>
      <c r="P21" s="161" t="e">
        <f t="shared" si="7"/>
        <v>#REF!</v>
      </c>
      <c r="Q21" s="158" t="e">
        <f t="shared" si="10"/>
        <v>#REF!</v>
      </c>
      <c r="R21" s="107"/>
      <c r="S21" s="108"/>
      <c r="T21" s="147">
        <f t="shared" si="9"/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 aca="true" t="shared" si="11" ref="E22:E30">D22</f>
        <v>21000</v>
      </c>
      <c r="F22" s="172">
        <v>21482.16</v>
      </c>
      <c r="G22" s="171">
        <f t="shared" si="0"/>
        <v>482.15999999999985</v>
      </c>
      <c r="H22" s="173">
        <f t="shared" si="4"/>
        <v>102.296</v>
      </c>
      <c r="I22" s="174">
        <f t="shared" si="5"/>
        <v>482.15999999999985</v>
      </c>
      <c r="J22" s="174">
        <f t="shared" si="6"/>
        <v>102.296</v>
      </c>
      <c r="K22" s="175">
        <v>13340.12</v>
      </c>
      <c r="L22" s="166">
        <f t="shared" si="1"/>
        <v>8142.039999999999</v>
      </c>
      <c r="M22" s="215">
        <f t="shared" si="2"/>
        <v>1.6103423357511026</v>
      </c>
      <c r="N22" s="173" t="e">
        <f>E22-#REF!</f>
        <v>#REF!</v>
      </c>
      <c r="O22" s="176" t="e">
        <f>F22-#REF!</f>
        <v>#REF!</v>
      </c>
      <c r="P22" s="177" t="e">
        <f t="shared" si="7"/>
        <v>#REF!</v>
      </c>
      <c r="Q22" s="174" t="e">
        <f t="shared" si="10"/>
        <v>#REF!</v>
      </c>
      <c r="R22" s="107"/>
      <c r="S22" s="108"/>
      <c r="T22" s="147">
        <f t="shared" si="9"/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 t="shared" si="11"/>
        <v>2000</v>
      </c>
      <c r="F23" s="163">
        <v>842.7</v>
      </c>
      <c r="G23" s="198">
        <f t="shared" si="0"/>
        <v>-1157.3</v>
      </c>
      <c r="H23" s="199">
        <f t="shared" si="4"/>
        <v>42.135</v>
      </c>
      <c r="I23" s="200">
        <f t="shared" si="5"/>
        <v>-1157.3</v>
      </c>
      <c r="J23" s="200">
        <f t="shared" si="6"/>
        <v>42.135</v>
      </c>
      <c r="K23" s="200">
        <v>716.11</v>
      </c>
      <c r="L23" s="200">
        <f t="shared" si="1"/>
        <v>126.59000000000003</v>
      </c>
      <c r="M23" s="228">
        <f t="shared" si="2"/>
        <v>1.1767745178813311</v>
      </c>
      <c r="N23" s="199" t="e">
        <f>E23-#REF!</f>
        <v>#REF!</v>
      </c>
      <c r="O23" s="199" t="e">
        <f>F23-#REF!</f>
        <v>#REF!</v>
      </c>
      <c r="P23" s="200" t="e">
        <f t="shared" si="7"/>
        <v>#REF!</v>
      </c>
      <c r="Q23" s="200" t="e">
        <f t="shared" si="10"/>
        <v>#REF!</v>
      </c>
      <c r="R23" s="107"/>
      <c r="S23" s="108"/>
      <c r="T23" s="147">
        <f t="shared" si="9"/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 t="shared" si="11"/>
        <v>19000</v>
      </c>
      <c r="F24" s="163">
        <v>20639.46</v>
      </c>
      <c r="G24" s="198">
        <f t="shared" si="0"/>
        <v>1639.4599999999991</v>
      </c>
      <c r="H24" s="199">
        <f t="shared" si="4"/>
        <v>108.62873684210525</v>
      </c>
      <c r="I24" s="200">
        <f t="shared" si="5"/>
        <v>1639.4599999999991</v>
      </c>
      <c r="J24" s="200">
        <f t="shared" si="6"/>
        <v>108.62873684210525</v>
      </c>
      <c r="K24" s="200">
        <v>12624.02</v>
      </c>
      <c r="L24" s="200">
        <f t="shared" si="1"/>
        <v>8015.439999999999</v>
      </c>
      <c r="M24" s="228">
        <f t="shared" si="2"/>
        <v>1.6349356227255658</v>
      </c>
      <c r="N24" s="199" t="e">
        <f>E24-#REF!</f>
        <v>#REF!</v>
      </c>
      <c r="O24" s="199" t="e">
        <f>F24-#REF!</f>
        <v>#REF!</v>
      </c>
      <c r="P24" s="200" t="e">
        <f t="shared" si="7"/>
        <v>#REF!</v>
      </c>
      <c r="Q24" s="200" t="e">
        <f t="shared" si="10"/>
        <v>#REF!</v>
      </c>
      <c r="R24" s="107"/>
      <c r="S24" s="108"/>
      <c r="T24" s="147">
        <f t="shared" si="9"/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 t="shared" si="11"/>
        <v>845</v>
      </c>
      <c r="F25" s="172">
        <v>701.85</v>
      </c>
      <c r="G25" s="171">
        <f t="shared" si="0"/>
        <v>-143.14999999999998</v>
      </c>
      <c r="H25" s="173">
        <f t="shared" si="4"/>
        <v>83.05917159763314</v>
      </c>
      <c r="I25" s="174">
        <f t="shared" si="5"/>
        <v>-143.14999999999998</v>
      </c>
      <c r="J25" s="174">
        <f t="shared" si="6"/>
        <v>83.05917159763314</v>
      </c>
      <c r="K25" s="174">
        <v>3879.26</v>
      </c>
      <c r="L25" s="174">
        <f t="shared" si="1"/>
        <v>-3177.4100000000003</v>
      </c>
      <c r="M25" s="212">
        <f t="shared" si="2"/>
        <v>0.18092368132066425</v>
      </c>
      <c r="N25" s="173" t="e">
        <f>E25-#REF!</f>
        <v>#REF!</v>
      </c>
      <c r="O25" s="176" t="e">
        <f>F25-#REF!</f>
        <v>#REF!</v>
      </c>
      <c r="P25" s="177" t="e">
        <f t="shared" si="7"/>
        <v>#REF!</v>
      </c>
      <c r="Q25" s="174"/>
      <c r="R25" s="107"/>
      <c r="S25" s="108"/>
      <c r="T25" s="147">
        <f t="shared" si="9"/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 t="shared" si="11"/>
        <v>158699.65</v>
      </c>
      <c r="F26" s="172">
        <v>160111.04</v>
      </c>
      <c r="G26" s="171">
        <f t="shared" si="0"/>
        <v>1411.390000000014</v>
      </c>
      <c r="H26" s="173">
        <f t="shared" si="4"/>
        <v>100.88934663687034</v>
      </c>
      <c r="I26" s="174">
        <f t="shared" si="5"/>
        <v>1411.390000000014</v>
      </c>
      <c r="J26" s="174">
        <f t="shared" si="6"/>
        <v>100.88934663687034</v>
      </c>
      <c r="K26" s="175">
        <v>102382.03</v>
      </c>
      <c r="L26" s="175">
        <f t="shared" si="1"/>
        <v>57729.01000000001</v>
      </c>
      <c r="M26" s="211">
        <f t="shared" si="2"/>
        <v>1.5638588138953682</v>
      </c>
      <c r="N26" s="173" t="e">
        <f>E26-#REF!</f>
        <v>#REF!</v>
      </c>
      <c r="O26" s="176" t="e">
        <f>F26-#REF!</f>
        <v>#REF!</v>
      </c>
      <c r="P26" s="177" t="e">
        <f t="shared" si="7"/>
        <v>#REF!</v>
      </c>
      <c r="Q26" s="174" t="e">
        <f>O26/N26*100</f>
        <v>#REF!</v>
      </c>
      <c r="R26" s="107"/>
      <c r="S26" s="108"/>
      <c r="T26" s="147">
        <f t="shared" si="9"/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 t="shared" si="11"/>
        <v>49767</v>
      </c>
      <c r="F27" s="163">
        <v>49911.97</v>
      </c>
      <c r="G27" s="198">
        <f t="shared" si="0"/>
        <v>144.97000000000116</v>
      </c>
      <c r="H27" s="199">
        <f t="shared" si="4"/>
        <v>100.29129744609881</v>
      </c>
      <c r="I27" s="200">
        <f t="shared" si="5"/>
        <v>144.97000000000116</v>
      </c>
      <c r="J27" s="200">
        <f t="shared" si="6"/>
        <v>100.29129744609881</v>
      </c>
      <c r="K27" s="200">
        <v>27811.39</v>
      </c>
      <c r="L27" s="200">
        <f t="shared" si="1"/>
        <v>22100.58</v>
      </c>
      <c r="M27" s="228">
        <f t="shared" si="2"/>
        <v>1.7946593104479855</v>
      </c>
      <c r="N27" s="199" t="e">
        <f>E27-#REF!</f>
        <v>#REF!</v>
      </c>
      <c r="O27" s="199" t="e">
        <f>F27-#REF!</f>
        <v>#REF!</v>
      </c>
      <c r="P27" s="200" t="e">
        <f t="shared" si="7"/>
        <v>#REF!</v>
      </c>
      <c r="Q27" s="200" t="e">
        <f>O27/N27*100</f>
        <v>#REF!</v>
      </c>
      <c r="R27" s="107"/>
      <c r="S27" s="108"/>
      <c r="T27" s="147">
        <f t="shared" si="9"/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 t="shared" si="11"/>
        <v>108932.65</v>
      </c>
      <c r="F28" s="163">
        <v>110199.06</v>
      </c>
      <c r="G28" s="198">
        <f t="shared" si="0"/>
        <v>1266.4100000000035</v>
      </c>
      <c r="H28" s="199">
        <f t="shared" si="4"/>
        <v>101.16256237225478</v>
      </c>
      <c r="I28" s="200">
        <f t="shared" si="5"/>
        <v>1266.4100000000035</v>
      </c>
      <c r="J28" s="200">
        <f t="shared" si="6"/>
        <v>101.16256237225478</v>
      </c>
      <c r="K28" s="200">
        <v>74570.64</v>
      </c>
      <c r="L28" s="200">
        <f t="shared" si="1"/>
        <v>35628.42</v>
      </c>
      <c r="M28" s="228">
        <f t="shared" si="2"/>
        <v>1.4777807995210983</v>
      </c>
      <c r="N28" s="199" t="e">
        <f>E28-#REF!</f>
        <v>#REF!</v>
      </c>
      <c r="O28" s="199" t="e">
        <f>F28-#REF!</f>
        <v>#REF!</v>
      </c>
      <c r="P28" s="200" t="e">
        <f t="shared" si="7"/>
        <v>#REF!</v>
      </c>
      <c r="Q28" s="200" t="e">
        <f>O28/N28*100</f>
        <v>#REF!</v>
      </c>
      <c r="R28" s="107"/>
      <c r="S28" s="108"/>
      <c r="T28" s="147">
        <f t="shared" si="9"/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 t="shared" si="11"/>
        <v>0</v>
      </c>
      <c r="F29" s="199">
        <v>0.15</v>
      </c>
      <c r="G29" s="150">
        <f t="shared" si="0"/>
        <v>0.15</v>
      </c>
      <c r="H29" s="157"/>
      <c r="I29" s="158">
        <f t="shared" si="5"/>
        <v>0.15</v>
      </c>
      <c r="J29" s="158"/>
      <c r="K29" s="167">
        <v>0</v>
      </c>
      <c r="L29" s="158">
        <f t="shared" si="1"/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 t="shared" si="7"/>
        <v>#REF!</v>
      </c>
      <c r="Q29" s="158"/>
      <c r="R29" s="107"/>
      <c r="S29" s="108"/>
      <c r="T29" s="147">
        <f t="shared" si="9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 t="shared" si="11"/>
        <v>115</v>
      </c>
      <c r="F30" s="156">
        <v>117.68</v>
      </c>
      <c r="G30" s="150">
        <f t="shared" si="0"/>
        <v>2.680000000000007</v>
      </c>
      <c r="H30" s="157">
        <f t="shared" si="4"/>
        <v>102.3304347826087</v>
      </c>
      <c r="I30" s="158">
        <f t="shared" si="5"/>
        <v>2.680000000000007</v>
      </c>
      <c r="J30" s="158">
        <f t="shared" si="6"/>
        <v>102.3304347826087</v>
      </c>
      <c r="K30" s="158">
        <v>76.57</v>
      </c>
      <c r="L30" s="158">
        <f t="shared" si="1"/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 t="shared" si="7"/>
        <v>#REF!</v>
      </c>
      <c r="Q30" s="158" t="e">
        <f>O30/N30*100</f>
        <v>#REF!</v>
      </c>
      <c r="R30" s="107"/>
      <c r="S30" s="108"/>
      <c r="T30" s="147">
        <f t="shared" si="9"/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 t="shared" si="0"/>
        <v>-177.97</v>
      </c>
      <c r="H31" s="157"/>
      <c r="I31" s="158">
        <f t="shared" si="5"/>
        <v>-177.97</v>
      </c>
      <c r="J31" s="158"/>
      <c r="K31" s="158">
        <v>-838.98</v>
      </c>
      <c r="L31" s="158">
        <f t="shared" si="1"/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 t="shared" si="7"/>
        <v>#REF!</v>
      </c>
      <c r="Q31" s="158"/>
      <c r="R31" s="107"/>
      <c r="S31" s="108"/>
      <c r="T31" s="147">
        <f t="shared" si="9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 t="shared" si="0"/>
        <v>2768.600000000006</v>
      </c>
      <c r="H32" s="164">
        <f t="shared" si="4"/>
        <v>101.78045016077171</v>
      </c>
      <c r="I32" s="165">
        <f t="shared" si="5"/>
        <v>2768.600000000006</v>
      </c>
      <c r="J32" s="165">
        <f t="shared" si="6"/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 t="shared" si="7"/>
        <v>#REF!</v>
      </c>
      <c r="Q32" s="165" t="e">
        <f>O32/N32*100</f>
        <v>#REF!</v>
      </c>
      <c r="R32" s="107"/>
      <c r="S32" s="108"/>
      <c r="T32" s="147">
        <f t="shared" si="9"/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 t="shared" si="0"/>
        <v>0.23</v>
      </c>
      <c r="H33" s="105"/>
      <c r="I33" s="104">
        <f t="shared" si="5"/>
        <v>0.23</v>
      </c>
      <c r="J33" s="104"/>
      <c r="K33" s="127">
        <v>-1.15</v>
      </c>
      <c r="L33" s="127">
        <f t="shared" si="1"/>
        <v>1.38</v>
      </c>
      <c r="M33" s="216">
        <f aca="true" t="shared" si="12" ref="M33:M39">F33/K33</f>
        <v>-0.2</v>
      </c>
      <c r="N33" s="105" t="e">
        <f>E33-#REF!</f>
        <v>#REF!</v>
      </c>
      <c r="O33" s="144" t="e">
        <f>F33-#REF!</f>
        <v>#REF!</v>
      </c>
      <c r="P33" s="106" t="e">
        <f t="shared" si="7"/>
        <v>#REF!</v>
      </c>
      <c r="Q33" s="104"/>
      <c r="R33" s="107"/>
      <c r="S33" s="108"/>
      <c r="T33" s="147">
        <f t="shared" si="9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 t="shared" si="0"/>
        <v>856.7200000000012</v>
      </c>
      <c r="H34" s="105">
        <f t="shared" si="4"/>
        <v>102.23587441605555</v>
      </c>
      <c r="I34" s="104">
        <f t="shared" si="5"/>
        <v>856.7200000000012</v>
      </c>
      <c r="J34" s="104">
        <f t="shared" si="6"/>
        <v>102.23587441605555</v>
      </c>
      <c r="K34" s="127">
        <v>24618.58</v>
      </c>
      <c r="L34" s="127">
        <f t="shared" si="1"/>
        <v>14555.14</v>
      </c>
      <c r="M34" s="216">
        <f t="shared" si="12"/>
        <v>1.59122581399902</v>
      </c>
      <c r="N34" s="105" t="e">
        <f>E34-#REF!</f>
        <v>#REF!</v>
      </c>
      <c r="O34" s="144" t="e">
        <f>F34-#REF!</f>
        <v>#REF!</v>
      </c>
      <c r="P34" s="106" t="e">
        <f t="shared" si="7"/>
        <v>#REF!</v>
      </c>
      <c r="Q34" s="104" t="e">
        <f>O34/N34*100</f>
        <v>#REF!</v>
      </c>
      <c r="R34" s="107"/>
      <c r="S34" s="108"/>
      <c r="T34" s="147">
        <f t="shared" si="9"/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 t="shared" si="0"/>
        <v>1907.4600000000064</v>
      </c>
      <c r="H35" s="105">
        <f t="shared" si="4"/>
        <v>101.6284704436021</v>
      </c>
      <c r="I35" s="104">
        <f t="shared" si="5"/>
        <v>1907.4600000000064</v>
      </c>
      <c r="J35" s="104">
        <f t="shared" si="6"/>
        <v>101.6284704436021</v>
      </c>
      <c r="K35" s="127">
        <v>79616.02</v>
      </c>
      <c r="L35" s="127">
        <f t="shared" si="1"/>
        <v>39423.44</v>
      </c>
      <c r="M35" s="216">
        <f t="shared" si="12"/>
        <v>1.495169690723048</v>
      </c>
      <c r="N35" s="105" t="e">
        <f>E35-#REF!</f>
        <v>#REF!</v>
      </c>
      <c r="O35" s="144" t="e">
        <f>F35-#REF!</f>
        <v>#REF!</v>
      </c>
      <c r="P35" s="106" t="e">
        <f t="shared" si="7"/>
        <v>#REF!</v>
      </c>
      <c r="Q35" s="104" t="e">
        <f>O35/N35*100</f>
        <v>#REF!</v>
      </c>
      <c r="R35" s="107"/>
      <c r="S35" s="108"/>
      <c r="T35" s="147">
        <f t="shared" si="9"/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 t="shared" si="0"/>
        <v>4.18</v>
      </c>
      <c r="H36" s="105">
        <f t="shared" si="4"/>
        <v>108.19607843137256</v>
      </c>
      <c r="I36" s="104">
        <f t="shared" si="5"/>
        <v>4.18</v>
      </c>
      <c r="J36" s="104">
        <f t="shared" si="6"/>
        <v>108.19607843137256</v>
      </c>
      <c r="K36" s="127">
        <v>36.13</v>
      </c>
      <c r="L36" s="127">
        <f t="shared" si="1"/>
        <v>19.049999999999997</v>
      </c>
      <c r="M36" s="216">
        <f t="shared" si="12"/>
        <v>1.5272626626072514</v>
      </c>
      <c r="N36" s="105" t="e">
        <f>E36-#REF!</f>
        <v>#REF!</v>
      </c>
      <c r="O36" s="144" t="e">
        <f>F36-#REF!</f>
        <v>#REF!</v>
      </c>
      <c r="P36" s="106" t="e">
        <f t="shared" si="7"/>
        <v>#REF!</v>
      </c>
      <c r="Q36" s="104"/>
      <c r="R36" s="107"/>
      <c r="S36" s="108"/>
      <c r="T36" s="147">
        <f t="shared" si="9"/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5"/>
        <v>0</v>
      </c>
      <c r="J37" s="37"/>
      <c r="K37" s="119">
        <v>6768.9</v>
      </c>
      <c r="L37" s="119">
        <f t="shared" si="1"/>
        <v>-6768.9</v>
      </c>
      <c r="M37" s="217">
        <f t="shared" si="12"/>
        <v>0</v>
      </c>
      <c r="N37" s="137" t="e">
        <f>E37-#REF!</f>
        <v>#REF!</v>
      </c>
      <c r="O37" s="145" t="e">
        <f>F37-#REF!</f>
        <v>#REF!</v>
      </c>
      <c r="P37" s="36" t="e">
        <f t="shared" si="7"/>
        <v>#REF!</v>
      </c>
      <c r="Q37" s="37"/>
      <c r="R37" s="107"/>
      <c r="S37" s="108"/>
      <c r="T37" s="147">
        <f t="shared" si="9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 t="shared" si="1"/>
        <v>18071.929999999993</v>
      </c>
      <c r="M38" s="205">
        <f t="shared" si="12"/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9"/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 aca="true" t="shared" si="13" ref="E39:E45">D39</f>
        <v>550</v>
      </c>
      <c r="F39" s="156">
        <v>551.04</v>
      </c>
      <c r="G39" s="162">
        <f>F39-E39</f>
        <v>1.0399999999999636</v>
      </c>
      <c r="H39" s="164">
        <f aca="true" t="shared" si="14" ref="H39:H62">F39/E39*100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 t="shared" si="1"/>
        <v>550.49</v>
      </c>
      <c r="M39" s="218">
        <f t="shared" si="12"/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5" ref="Q39:Q62">O39/N39*100</f>
        <v>#REF!</v>
      </c>
      <c r="R39" s="37"/>
      <c r="S39" s="94"/>
      <c r="T39" s="147">
        <f t="shared" si="9"/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 t="shared" si="13"/>
        <v>35600</v>
      </c>
      <c r="F40" s="156">
        <v>36136.57</v>
      </c>
      <c r="G40" s="162">
        <f aca="true" t="shared" si="16" ref="G40:G63">F40-E40</f>
        <v>536.5699999999997</v>
      </c>
      <c r="H40" s="164">
        <f t="shared" si="14"/>
        <v>101.5072191011236</v>
      </c>
      <c r="I40" s="165">
        <f aca="true" t="shared" si="17" ref="I40:I63">F40-D40</f>
        <v>536.5699999999997</v>
      </c>
      <c r="J40" s="165">
        <f>F40/D40*100</f>
        <v>101.5072191011236</v>
      </c>
      <c r="K40" s="165">
        <v>19275.42</v>
      </c>
      <c r="L40" s="165">
        <f t="shared" si="1"/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8" ref="P40:P63">O40-N40</f>
        <v>#REF!</v>
      </c>
      <c r="Q40" s="165" t="e">
        <f t="shared" si="15"/>
        <v>#REF!</v>
      </c>
      <c r="R40" s="37"/>
      <c r="S40" s="94"/>
      <c r="T40" s="147">
        <f t="shared" si="9"/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 t="shared" si="13"/>
        <v>31.039999999999992</v>
      </c>
      <c r="F41" s="156">
        <v>31.98</v>
      </c>
      <c r="G41" s="162">
        <f t="shared" si="16"/>
        <v>0.9400000000000084</v>
      </c>
      <c r="H41" s="164">
        <f t="shared" si="14"/>
        <v>103.02835051546396</v>
      </c>
      <c r="I41" s="165">
        <f t="shared" si="17"/>
        <v>0.9400000000000084</v>
      </c>
      <c r="J41" s="165">
        <f aca="true" t="shared" si="19" ref="J41:J62">F41/D41*100</f>
        <v>103.02835051546396</v>
      </c>
      <c r="K41" s="165">
        <v>445.64</v>
      </c>
      <c r="L41" s="165">
        <f t="shared" si="1"/>
        <v>-413.65999999999997</v>
      </c>
      <c r="M41" s="218">
        <f aca="true" t="shared" si="20" ref="M41:M63">F41/K41</f>
        <v>0.07176196032672112</v>
      </c>
      <c r="N41" s="164" t="e">
        <f>E41-#REF!</f>
        <v>#REF!</v>
      </c>
      <c r="O41" s="168" t="e">
        <f>F41-#REF!</f>
        <v>#REF!</v>
      </c>
      <c r="P41" s="167" t="e">
        <f t="shared" si="18"/>
        <v>#REF!</v>
      </c>
      <c r="Q41" s="165"/>
      <c r="R41" s="37"/>
      <c r="S41" s="94"/>
      <c r="T41" s="147">
        <f t="shared" si="9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 t="shared" si="13"/>
        <v>0</v>
      </c>
      <c r="F42" s="156">
        <v>0.1</v>
      </c>
      <c r="G42" s="162">
        <f t="shared" si="16"/>
        <v>0.1</v>
      </c>
      <c r="H42" s="164"/>
      <c r="I42" s="165">
        <f t="shared" si="17"/>
        <v>0.1</v>
      </c>
      <c r="J42" s="165"/>
      <c r="K42" s="165">
        <v>1.02</v>
      </c>
      <c r="L42" s="165">
        <f t="shared" si="1"/>
        <v>-0.92</v>
      </c>
      <c r="M42" s="218">
        <f t="shared" si="20"/>
        <v>0.09803921568627451</v>
      </c>
      <c r="N42" s="164" t="e">
        <f>E42-#REF!</f>
        <v>#REF!</v>
      </c>
      <c r="O42" s="168" t="e">
        <f>F42-#REF!</f>
        <v>#REF!</v>
      </c>
      <c r="P42" s="167" t="e">
        <f t="shared" si="18"/>
        <v>#REF!</v>
      </c>
      <c r="Q42" s="165"/>
      <c r="R42" s="37"/>
      <c r="S42" s="94"/>
      <c r="T42" s="147">
        <f t="shared" si="9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 t="shared" si="13"/>
        <v>227</v>
      </c>
      <c r="F43" s="156">
        <v>241.07</v>
      </c>
      <c r="G43" s="162">
        <f t="shared" si="16"/>
        <v>14.069999999999993</v>
      </c>
      <c r="H43" s="164">
        <f t="shared" si="14"/>
        <v>106.19823788546255</v>
      </c>
      <c r="I43" s="165">
        <f t="shared" si="17"/>
        <v>14.069999999999993</v>
      </c>
      <c r="J43" s="165">
        <f t="shared" si="19"/>
        <v>106.19823788546255</v>
      </c>
      <c r="K43" s="165">
        <v>126.46</v>
      </c>
      <c r="L43" s="165">
        <f t="shared" si="1"/>
        <v>114.61</v>
      </c>
      <c r="M43" s="218">
        <f t="shared" si="20"/>
        <v>1.9062944804681323</v>
      </c>
      <c r="N43" s="164" t="e">
        <f>E43-#REF!</f>
        <v>#REF!</v>
      </c>
      <c r="O43" s="168" t="e">
        <f>F43-#REF!</f>
        <v>#REF!</v>
      </c>
      <c r="P43" s="167" t="e">
        <f t="shared" si="18"/>
        <v>#REF!</v>
      </c>
      <c r="Q43" s="165" t="e">
        <f t="shared" si="15"/>
        <v>#REF!</v>
      </c>
      <c r="R43" s="37"/>
      <c r="S43" s="94"/>
      <c r="T43" s="147">
        <f t="shared" si="9"/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 t="shared" si="13"/>
        <v>85</v>
      </c>
      <c r="F44" s="156">
        <v>86.37</v>
      </c>
      <c r="G44" s="162">
        <f t="shared" si="16"/>
        <v>1.3700000000000045</v>
      </c>
      <c r="H44" s="164"/>
      <c r="I44" s="165">
        <f t="shared" si="17"/>
        <v>1.3700000000000045</v>
      </c>
      <c r="J44" s="165"/>
      <c r="K44" s="165">
        <v>0</v>
      </c>
      <c r="L44" s="165">
        <f t="shared" si="1"/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9"/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 t="shared" si="13"/>
        <v>700</v>
      </c>
      <c r="F45" s="156">
        <v>791.33</v>
      </c>
      <c r="G45" s="162">
        <f t="shared" si="16"/>
        <v>91.33000000000004</v>
      </c>
      <c r="H45" s="164">
        <f t="shared" si="14"/>
        <v>113.04714285714286</v>
      </c>
      <c r="I45" s="165">
        <f t="shared" si="17"/>
        <v>91.33000000000004</v>
      </c>
      <c r="J45" s="165">
        <f t="shared" si="19"/>
        <v>113.04714285714286</v>
      </c>
      <c r="K45" s="165">
        <v>0</v>
      </c>
      <c r="L45" s="165">
        <f t="shared" si="1"/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8"/>
        <v>#REF!</v>
      </c>
      <c r="Q45" s="165" t="e">
        <f t="shared" si="15"/>
        <v>#REF!</v>
      </c>
      <c r="R45" s="37"/>
      <c r="S45" s="94"/>
      <c r="T45" s="147">
        <f t="shared" si="9"/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20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9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 aca="true" t="shared" si="21" ref="E47:E57">D47</f>
        <v>11100</v>
      </c>
      <c r="F47" s="156">
        <v>11422.5</v>
      </c>
      <c r="G47" s="162">
        <f t="shared" si="16"/>
        <v>322.5</v>
      </c>
      <c r="H47" s="164">
        <f t="shared" si="14"/>
        <v>102.9054054054054</v>
      </c>
      <c r="I47" s="165">
        <f t="shared" si="17"/>
        <v>322.5</v>
      </c>
      <c r="J47" s="165">
        <f t="shared" si="19"/>
        <v>102.9054054054054</v>
      </c>
      <c r="K47" s="165">
        <v>9902.75</v>
      </c>
      <c r="L47" s="165">
        <f t="shared" si="1"/>
        <v>1519.75</v>
      </c>
      <c r="M47" s="218">
        <f t="shared" si="20"/>
        <v>1.1534674711570019</v>
      </c>
      <c r="N47" s="164" t="e">
        <f>E47-#REF!</f>
        <v>#REF!</v>
      </c>
      <c r="O47" s="168" t="e">
        <f>F47-#REF!</f>
        <v>#REF!</v>
      </c>
      <c r="P47" s="167" t="e">
        <f t="shared" si="18"/>
        <v>#REF!</v>
      </c>
      <c r="Q47" s="165" t="e">
        <f t="shared" si="15"/>
        <v>#REF!</v>
      </c>
      <c r="R47" s="37"/>
      <c r="S47" s="94"/>
      <c r="T47" s="147">
        <f t="shared" si="9"/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 t="shared" si="21"/>
        <v>300</v>
      </c>
      <c r="F48" s="156">
        <v>323.25</v>
      </c>
      <c r="G48" s="162">
        <f t="shared" si="16"/>
        <v>23.25</v>
      </c>
      <c r="H48" s="164">
        <f t="shared" si="14"/>
        <v>107.74999999999999</v>
      </c>
      <c r="I48" s="165">
        <f t="shared" si="17"/>
        <v>23.25</v>
      </c>
      <c r="J48" s="165">
        <f t="shared" si="19"/>
        <v>107.74999999999999</v>
      </c>
      <c r="K48" s="165">
        <v>0</v>
      </c>
      <c r="L48" s="165">
        <f t="shared" si="1"/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8"/>
        <v>#REF!</v>
      </c>
      <c r="Q48" s="165"/>
      <c r="R48" s="37"/>
      <c r="S48" s="94"/>
      <c r="T48" s="147">
        <f t="shared" si="9"/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 t="shared" si="21"/>
        <v>19</v>
      </c>
      <c r="F49" s="156">
        <v>22.36</v>
      </c>
      <c r="G49" s="162">
        <f t="shared" si="16"/>
        <v>3.3599999999999994</v>
      </c>
      <c r="H49" s="164">
        <f t="shared" si="14"/>
        <v>117.6842105263158</v>
      </c>
      <c r="I49" s="165">
        <f t="shared" si="17"/>
        <v>3.3599999999999994</v>
      </c>
      <c r="J49" s="165">
        <f t="shared" si="19"/>
        <v>117.6842105263158</v>
      </c>
      <c r="K49" s="165">
        <v>0</v>
      </c>
      <c r="L49" s="165">
        <f t="shared" si="1"/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8"/>
        <v>#REF!</v>
      </c>
      <c r="Q49" s="165" t="e">
        <f t="shared" si="15"/>
        <v>#REF!</v>
      </c>
      <c r="R49" s="37"/>
      <c r="S49" s="94"/>
      <c r="T49" s="147">
        <f t="shared" si="9"/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 t="shared" si="21"/>
        <v>7230</v>
      </c>
      <c r="F50" s="156">
        <v>7230.43</v>
      </c>
      <c r="G50" s="162">
        <f t="shared" si="16"/>
        <v>0.43000000000029104</v>
      </c>
      <c r="H50" s="164">
        <f t="shared" si="14"/>
        <v>100.00594744121716</v>
      </c>
      <c r="I50" s="165">
        <f t="shared" si="17"/>
        <v>0.43000000000029104</v>
      </c>
      <c r="J50" s="165">
        <f t="shared" si="19"/>
        <v>100.00594744121716</v>
      </c>
      <c r="K50" s="165">
        <v>8872.3</v>
      </c>
      <c r="L50" s="165">
        <f t="shared" si="1"/>
        <v>-1641.869999999999</v>
      </c>
      <c r="M50" s="218">
        <f t="shared" si="20"/>
        <v>0.81494426473406</v>
      </c>
      <c r="N50" s="164" t="e">
        <f>E50-#REF!</f>
        <v>#REF!</v>
      </c>
      <c r="O50" s="168" t="e">
        <f>F50-#REF!</f>
        <v>#REF!</v>
      </c>
      <c r="P50" s="167" t="e">
        <f t="shared" si="18"/>
        <v>#REF!</v>
      </c>
      <c r="Q50" s="165" t="e">
        <f t="shared" si="15"/>
        <v>#REF!</v>
      </c>
      <c r="R50" s="37"/>
      <c r="S50" s="94"/>
      <c r="T50" s="147">
        <f t="shared" si="9"/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 t="shared" si="21"/>
        <v>5150.04</v>
      </c>
      <c r="F51" s="156">
        <v>5161.34</v>
      </c>
      <c r="G51" s="162">
        <f t="shared" si="16"/>
        <v>11.300000000000182</v>
      </c>
      <c r="H51" s="164">
        <f t="shared" si="14"/>
        <v>100.21941577152799</v>
      </c>
      <c r="I51" s="165">
        <f t="shared" si="17"/>
        <v>11.300000000000182</v>
      </c>
      <c r="J51" s="165">
        <f t="shared" si="19"/>
        <v>100.21941577152799</v>
      </c>
      <c r="K51" s="165">
        <v>7235.66</v>
      </c>
      <c r="L51" s="165">
        <f t="shared" si="1"/>
        <v>-2074.3199999999997</v>
      </c>
      <c r="M51" s="218">
        <f t="shared" si="20"/>
        <v>0.7133198630118055</v>
      </c>
      <c r="N51" s="164" t="e">
        <f>E51-#REF!</f>
        <v>#REF!</v>
      </c>
      <c r="O51" s="168" t="e">
        <f>F51-#REF!</f>
        <v>#REF!</v>
      </c>
      <c r="P51" s="167" t="e">
        <f t="shared" si="18"/>
        <v>#REF!</v>
      </c>
      <c r="Q51" s="165" t="e">
        <f t="shared" si="15"/>
        <v>#REF!</v>
      </c>
      <c r="R51" s="37"/>
      <c r="S51" s="94"/>
      <c r="T51" s="147">
        <f t="shared" si="9"/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 t="shared" si="21"/>
        <v>795</v>
      </c>
      <c r="F52" s="140">
        <v>835.21</v>
      </c>
      <c r="G52" s="34">
        <f t="shared" si="16"/>
        <v>40.210000000000036</v>
      </c>
      <c r="H52" s="30">
        <f t="shared" si="14"/>
        <v>105.05786163522014</v>
      </c>
      <c r="I52" s="104">
        <f t="shared" si="17"/>
        <v>40.210000000000036</v>
      </c>
      <c r="J52" s="104">
        <f t="shared" si="19"/>
        <v>105.05786163522014</v>
      </c>
      <c r="K52" s="104">
        <v>1089.08</v>
      </c>
      <c r="L52" s="104">
        <f>F52-K52</f>
        <v>-253.8699999999999</v>
      </c>
      <c r="M52" s="109">
        <f t="shared" si="20"/>
        <v>0.7668949939398392</v>
      </c>
      <c r="N52" s="164" t="e">
        <f>E52-#REF!</f>
        <v>#REF!</v>
      </c>
      <c r="O52" s="168" t="e">
        <f>F52-#REF!</f>
        <v>#REF!</v>
      </c>
      <c r="P52" s="106" t="e">
        <f t="shared" si="18"/>
        <v>#REF!</v>
      </c>
      <c r="Q52" s="119" t="e">
        <f t="shared" si="15"/>
        <v>#REF!</v>
      </c>
      <c r="R52" s="37"/>
      <c r="S52" s="94"/>
      <c r="T52" s="147">
        <f t="shared" si="9"/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 t="shared" si="21"/>
        <v>5.04</v>
      </c>
      <c r="F53" s="140">
        <v>0.38</v>
      </c>
      <c r="G53" s="34">
        <f t="shared" si="16"/>
        <v>-4.66</v>
      </c>
      <c r="H53" s="30">
        <f t="shared" si="14"/>
        <v>7.5396825396825395</v>
      </c>
      <c r="I53" s="104">
        <f t="shared" si="17"/>
        <v>-4.66</v>
      </c>
      <c r="J53" s="104">
        <f t="shared" si="19"/>
        <v>7.5396825396825395</v>
      </c>
      <c r="K53" s="104">
        <v>44.23</v>
      </c>
      <c r="L53" s="104">
        <f>F53-K53</f>
        <v>-43.849999999999994</v>
      </c>
      <c r="M53" s="109">
        <f t="shared" si="20"/>
        <v>0.008591453764413295</v>
      </c>
      <c r="N53" s="164" t="e">
        <f>E53-#REF!</f>
        <v>#REF!</v>
      </c>
      <c r="O53" s="168" t="e">
        <f>F53-#REF!</f>
        <v>#REF!</v>
      </c>
      <c r="P53" s="106" t="e">
        <f t="shared" si="18"/>
        <v>#REF!</v>
      </c>
      <c r="Q53" s="119" t="e">
        <f t="shared" si="15"/>
        <v>#REF!</v>
      </c>
      <c r="R53" s="37"/>
      <c r="S53" s="94"/>
      <c r="T53" s="147">
        <f t="shared" si="9"/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 t="shared" si="21"/>
        <v>1</v>
      </c>
      <c r="F54" s="140">
        <v>0.02</v>
      </c>
      <c r="G54" s="34">
        <f t="shared" si="16"/>
        <v>-0.98</v>
      </c>
      <c r="H54" s="30"/>
      <c r="I54" s="104">
        <f t="shared" si="17"/>
        <v>-0.98</v>
      </c>
      <c r="J54" s="104">
        <f t="shared" si="19"/>
        <v>2</v>
      </c>
      <c r="K54" s="104">
        <v>0.75</v>
      </c>
      <c r="L54" s="104">
        <f>F54-K54</f>
        <v>-0.73</v>
      </c>
      <c r="M54" s="109">
        <f t="shared" si="20"/>
        <v>0.02666666666666667</v>
      </c>
      <c r="N54" s="164" t="e">
        <f>E54-#REF!</f>
        <v>#REF!</v>
      </c>
      <c r="O54" s="168" t="e">
        <f>F54-#REF!</f>
        <v>#REF!</v>
      </c>
      <c r="P54" s="106" t="e">
        <f t="shared" si="18"/>
        <v>#REF!</v>
      </c>
      <c r="Q54" s="119"/>
      <c r="R54" s="37"/>
      <c r="S54" s="94"/>
      <c r="T54" s="147">
        <f t="shared" si="9"/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 t="shared" si="21"/>
        <v>4349</v>
      </c>
      <c r="F55" s="140">
        <v>4325.74</v>
      </c>
      <c r="G55" s="34">
        <f t="shared" si="16"/>
        <v>-23.26000000000022</v>
      </c>
      <c r="H55" s="30">
        <f t="shared" si="14"/>
        <v>99.46516440561048</v>
      </c>
      <c r="I55" s="104">
        <f t="shared" si="17"/>
        <v>-23.26000000000022</v>
      </c>
      <c r="J55" s="104">
        <f t="shared" si="19"/>
        <v>99.46516440561048</v>
      </c>
      <c r="K55" s="104">
        <v>6101.6</v>
      </c>
      <c r="L55" s="104">
        <f>F55-K55</f>
        <v>-1775.8600000000006</v>
      </c>
      <c r="M55" s="109">
        <f t="shared" si="20"/>
        <v>0.7089517503605611</v>
      </c>
      <c r="N55" s="164" t="e">
        <f>E55-#REF!</f>
        <v>#REF!</v>
      </c>
      <c r="O55" s="168" t="e">
        <f>F55-#REF!</f>
        <v>#REF!</v>
      </c>
      <c r="P55" s="106" t="e">
        <f t="shared" si="18"/>
        <v>#REF!</v>
      </c>
      <c r="Q55" s="119" t="e">
        <f t="shared" si="15"/>
        <v>#REF!</v>
      </c>
      <c r="R55" s="37"/>
      <c r="S55" s="94"/>
      <c r="T55" s="147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 t="shared" si="21"/>
        <v>2</v>
      </c>
      <c r="F56" s="156">
        <v>2.46</v>
      </c>
      <c r="G56" s="162">
        <f t="shared" si="16"/>
        <v>0.45999999999999996</v>
      </c>
      <c r="H56" s="164">
        <f t="shared" si="14"/>
        <v>123</v>
      </c>
      <c r="I56" s="165">
        <f t="shared" si="17"/>
        <v>0.45999999999999996</v>
      </c>
      <c r="J56" s="165">
        <f t="shared" si="19"/>
        <v>123</v>
      </c>
      <c r="K56" s="165">
        <v>10.65</v>
      </c>
      <c r="L56" s="165">
        <f>F56-K56</f>
        <v>-8.190000000000001</v>
      </c>
      <c r="M56" s="218">
        <f t="shared" si="20"/>
        <v>0.23098591549295774</v>
      </c>
      <c r="N56" s="164" t="e">
        <f>E56-#REF!</f>
        <v>#REF!</v>
      </c>
      <c r="O56" s="168" t="e">
        <f>F56-#REF!</f>
        <v>#REF!</v>
      </c>
      <c r="P56" s="167" t="e">
        <f t="shared" si="18"/>
        <v>#REF!</v>
      </c>
      <c r="Q56" s="165"/>
      <c r="R56" s="37"/>
      <c r="S56" s="94"/>
      <c r="T56" s="147">
        <f t="shared" si="9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 t="shared" si="21"/>
        <v>6200</v>
      </c>
      <c r="F57" s="156">
        <v>6525.16</v>
      </c>
      <c r="G57" s="162">
        <f t="shared" si="16"/>
        <v>325.15999999999985</v>
      </c>
      <c r="H57" s="164">
        <f t="shared" si="14"/>
        <v>105.24451612903225</v>
      </c>
      <c r="I57" s="165">
        <f t="shared" si="17"/>
        <v>325.15999999999985</v>
      </c>
      <c r="J57" s="165">
        <f t="shared" si="19"/>
        <v>105.24451612903225</v>
      </c>
      <c r="K57" s="165">
        <v>4790.19</v>
      </c>
      <c r="L57" s="165">
        <f aca="true" t="shared" si="22" ref="L57:L63">F57-K57</f>
        <v>1734.9700000000003</v>
      </c>
      <c r="M57" s="218">
        <f t="shared" si="20"/>
        <v>1.362192313874815</v>
      </c>
      <c r="N57" s="164" t="e">
        <f>E57-#REF!</f>
        <v>#REF!</v>
      </c>
      <c r="O57" s="168" t="e">
        <f>F57-#REF!</f>
        <v>#REF!</v>
      </c>
      <c r="P57" s="167" t="e">
        <f t="shared" si="18"/>
        <v>#REF!</v>
      </c>
      <c r="Q57" s="165" t="e">
        <f t="shared" si="15"/>
        <v>#REF!</v>
      </c>
      <c r="R57" s="37"/>
      <c r="S57" s="94"/>
      <c r="T57" s="147">
        <f t="shared" si="9"/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6"/>
        <v>0</v>
      </c>
      <c r="H58" s="164" t="e">
        <f t="shared" si="14"/>
        <v>#DIV/0!</v>
      </c>
      <c r="I58" s="165">
        <f t="shared" si="17"/>
        <v>0</v>
      </c>
      <c r="J58" s="165" t="e">
        <f t="shared" si="19"/>
        <v>#DIV/0!</v>
      </c>
      <c r="K58" s="165"/>
      <c r="L58" s="165">
        <f t="shared" si="22"/>
        <v>0</v>
      </c>
      <c r="M58" s="218" t="e">
        <f t="shared" si="20"/>
        <v>#DIV/0!</v>
      </c>
      <c r="N58" s="164" t="e">
        <f>E58-#REF!</f>
        <v>#REF!</v>
      </c>
      <c r="O58" s="168" t="e">
        <f>F58-#REF!</f>
        <v>#REF!</v>
      </c>
      <c r="P58" s="167" t="e">
        <f t="shared" si="18"/>
        <v>#REF!</v>
      </c>
      <c r="Q58" s="165" t="e">
        <f t="shared" si="15"/>
        <v>#REF!</v>
      </c>
      <c r="R58" s="37"/>
      <c r="S58" s="94"/>
      <c r="T58" s="147">
        <f t="shared" si="9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 t="shared" si="22"/>
        <v>186.95000000000005</v>
      </c>
      <c r="M59" s="218">
        <f t="shared" si="20"/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9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 t="shared" si="16"/>
        <v>0</v>
      </c>
      <c r="H60" s="164"/>
      <c r="I60" s="165">
        <f t="shared" si="17"/>
        <v>0</v>
      </c>
      <c r="J60" s="165"/>
      <c r="K60" s="166"/>
      <c r="L60" s="165">
        <f t="shared" si="22"/>
        <v>0</v>
      </c>
      <c r="M60" s="218" t="e">
        <f t="shared" si="20"/>
        <v>#DIV/0!</v>
      </c>
      <c r="N60" s="164" t="e">
        <f>E60-#REF!</f>
        <v>#REF!</v>
      </c>
      <c r="O60" s="168" t="e">
        <f>F60-#REF!</f>
        <v>#REF!</v>
      </c>
      <c r="P60" s="167" t="e">
        <f t="shared" si="18"/>
        <v>#REF!</v>
      </c>
      <c r="Q60" s="165"/>
      <c r="R60" s="37"/>
      <c r="S60" s="94"/>
      <c r="T60" s="147">
        <f t="shared" si="9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 t="shared" si="16"/>
        <v>68.72</v>
      </c>
      <c r="H61" s="164">
        <f t="shared" si="14"/>
        <v>143.49367088607593</v>
      </c>
      <c r="I61" s="165">
        <f t="shared" si="17"/>
        <v>68.72</v>
      </c>
      <c r="J61" s="165">
        <f t="shared" si="19"/>
        <v>143.49367088607593</v>
      </c>
      <c r="K61" s="165">
        <v>20.05</v>
      </c>
      <c r="L61" s="165">
        <f t="shared" si="22"/>
        <v>206.67</v>
      </c>
      <c r="M61" s="218">
        <f t="shared" si="20"/>
        <v>11.307730673316708</v>
      </c>
      <c r="N61" s="164" t="e">
        <f>E61-#REF!</f>
        <v>#REF!</v>
      </c>
      <c r="O61" s="168" t="e">
        <f>F61-#REF!</f>
        <v>#REF!</v>
      </c>
      <c r="P61" s="167" t="e">
        <f t="shared" si="18"/>
        <v>#REF!</v>
      </c>
      <c r="Q61" s="165"/>
      <c r="R61" s="37"/>
      <c r="S61" s="94"/>
      <c r="T61" s="147">
        <f t="shared" si="9"/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 t="shared" si="16"/>
        <v>0.5199999999999996</v>
      </c>
      <c r="H62" s="164">
        <f t="shared" si="14"/>
        <v>104</v>
      </c>
      <c r="I62" s="165">
        <f t="shared" si="17"/>
        <v>0.5199999999999996</v>
      </c>
      <c r="J62" s="165">
        <f t="shared" si="19"/>
        <v>104</v>
      </c>
      <c r="K62" s="165">
        <v>26.28</v>
      </c>
      <c r="L62" s="165">
        <f t="shared" si="22"/>
        <v>-12.760000000000002</v>
      </c>
      <c r="M62" s="218">
        <f t="shared" si="20"/>
        <v>0.5144596651445966</v>
      </c>
      <c r="N62" s="164" t="e">
        <f>E62-#REF!</f>
        <v>#REF!</v>
      </c>
      <c r="O62" s="168" t="e">
        <f>F62-#REF!</f>
        <v>#REF!</v>
      </c>
      <c r="P62" s="167" t="e">
        <f t="shared" si="18"/>
        <v>#REF!</v>
      </c>
      <c r="Q62" s="165" t="e">
        <f t="shared" si="15"/>
        <v>#REF!</v>
      </c>
      <c r="R62" s="37"/>
      <c r="S62" s="94"/>
      <c r="T62" s="147">
        <f t="shared" si="9"/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 t="shared" si="16"/>
        <v>6.57</v>
      </c>
      <c r="H63" s="164"/>
      <c r="I63" s="165">
        <f t="shared" si="17"/>
        <v>6.57</v>
      </c>
      <c r="J63" s="165"/>
      <c r="K63" s="165">
        <v>0.58</v>
      </c>
      <c r="L63" s="165">
        <f t="shared" si="22"/>
        <v>6.79</v>
      </c>
      <c r="M63" s="218">
        <f t="shared" si="20"/>
        <v>12.706896551724139</v>
      </c>
      <c r="N63" s="164" t="e">
        <f>E63-#REF!</f>
        <v>#REF!</v>
      </c>
      <c r="O63" s="168" t="e">
        <f>F63-#REF!</f>
        <v>#REF!</v>
      </c>
      <c r="P63" s="167" t="e">
        <f t="shared" si="18"/>
        <v>#REF!</v>
      </c>
      <c r="Q63" s="165"/>
      <c r="R63" s="37"/>
      <c r="S63" s="94"/>
      <c r="T63" s="147">
        <f t="shared" si="9"/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9"/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9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9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9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9"/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9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9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9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9"/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 aca="true" t="shared" si="23" ref="G73:G83">F73-E73</f>
        <v>1618.9899999999998</v>
      </c>
      <c r="H73" s="164"/>
      <c r="I73" s="167">
        <f aca="true" t="shared" si="24" ref="I73:I83">F73-D73</f>
        <v>1618.9899999999998</v>
      </c>
      <c r="J73" s="167">
        <f>F73/D73*100</f>
        <v>153.96633333333332</v>
      </c>
      <c r="K73" s="167">
        <v>619.07</v>
      </c>
      <c r="L73" s="167">
        <f aca="true" t="shared" si="25" ref="L73:L83">F73-K73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 aca="true" t="shared" si="26" ref="P73:P86">O73-N73</f>
        <v>#REF!</v>
      </c>
      <c r="Q73" s="167" t="e">
        <f>O73/N73*100</f>
        <v>#REF!</v>
      </c>
      <c r="R73" s="38"/>
      <c r="S73" s="97"/>
      <c r="T73" s="147">
        <f t="shared" si="9"/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 t="shared" si="23"/>
        <v>140.77000000000044</v>
      </c>
      <c r="H74" s="164">
        <f>F74/E74*100</f>
        <v>101.36736279747451</v>
      </c>
      <c r="I74" s="167">
        <f t="shared" si="24"/>
        <v>140.77000000000044</v>
      </c>
      <c r="J74" s="167">
        <f>F74/D74*100</f>
        <v>101.36736279747451</v>
      </c>
      <c r="K74" s="167">
        <v>8374.15</v>
      </c>
      <c r="L74" s="167">
        <f t="shared" si="25"/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 t="shared" si="26"/>
        <v>#REF!</v>
      </c>
      <c r="Q74" s="167" t="e">
        <f>O74/N74*100</f>
        <v>#REF!</v>
      </c>
      <c r="R74" s="38"/>
      <c r="S74" s="97"/>
      <c r="T74" s="147">
        <f aca="true" t="shared" si="27" ref="T74:T90">D74-E74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 t="shared" si="23"/>
        <v>193.1900000000005</v>
      </c>
      <c r="H75" s="164">
        <f>F75/E75*100</f>
        <v>101.55798387096775</v>
      </c>
      <c r="I75" s="167">
        <f t="shared" si="24"/>
        <v>193.1900000000005</v>
      </c>
      <c r="J75" s="167">
        <f>F75/D75*100</f>
        <v>101.55798387096775</v>
      </c>
      <c r="K75" s="167">
        <v>2315.93</v>
      </c>
      <c r="L75" s="167">
        <f t="shared" si="25"/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 t="shared" si="26"/>
        <v>#REF!</v>
      </c>
      <c r="Q75" s="167" t="e">
        <f>O75/N75*100</f>
        <v>#REF!</v>
      </c>
      <c r="R75" s="38"/>
      <c r="S75" s="97"/>
      <c r="T75" s="147">
        <f t="shared" si="27"/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 t="shared" si="23"/>
        <v>1</v>
      </c>
      <c r="H76" s="164">
        <f>F76/E76*100</f>
        <v>108.33333333333333</v>
      </c>
      <c r="I76" s="167">
        <f t="shared" si="24"/>
        <v>1</v>
      </c>
      <c r="J76" s="167">
        <f>F76/D76*100</f>
        <v>108.33333333333333</v>
      </c>
      <c r="K76" s="167">
        <v>0</v>
      </c>
      <c r="L76" s="167">
        <f t="shared" si="25"/>
        <v>13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6"/>
        <v>#REF!</v>
      </c>
      <c r="Q76" s="167" t="e">
        <f>O76/N76*100</f>
        <v>#REF!</v>
      </c>
      <c r="R76" s="38"/>
      <c r="S76" s="136"/>
      <c r="T76" s="147">
        <f t="shared" si="27"/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 t="shared" si="23"/>
        <v>1953.9500000000007</v>
      </c>
      <c r="H77" s="186">
        <f>F77/E77*100</f>
        <v>107.60084801804956</v>
      </c>
      <c r="I77" s="187">
        <f t="shared" si="24"/>
        <v>1953.9500000000007</v>
      </c>
      <c r="J77" s="187">
        <f>F77/D77*100</f>
        <v>107.60084801804956</v>
      </c>
      <c r="K77" s="187">
        <v>11309.15</v>
      </c>
      <c r="L77" s="187">
        <f t="shared" si="25"/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 t="shared" si="26"/>
        <v>#REF!</v>
      </c>
      <c r="Q77" s="187" t="e">
        <f>O77/N77*100</f>
        <v>#REF!</v>
      </c>
      <c r="R77" s="39"/>
      <c r="S77" s="116"/>
      <c r="T77" s="147">
        <f t="shared" si="27"/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 t="shared" si="23"/>
        <v>19.989999999999995</v>
      </c>
      <c r="H78" s="164"/>
      <c r="I78" s="167">
        <f t="shared" si="24"/>
        <v>19.989999999999995</v>
      </c>
      <c r="J78" s="167"/>
      <c r="K78" s="167">
        <v>1.07</v>
      </c>
      <c r="L78" s="167">
        <f t="shared" si="25"/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 t="shared" si="26"/>
        <v>#REF!</v>
      </c>
      <c r="Q78" s="167"/>
      <c r="R78" s="38"/>
      <c r="S78" s="97"/>
      <c r="T78" s="147">
        <f t="shared" si="27"/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23"/>
        <v>0</v>
      </c>
      <c r="H79" s="164"/>
      <c r="I79" s="167">
        <f t="shared" si="24"/>
        <v>0</v>
      </c>
      <c r="J79" s="190"/>
      <c r="K79" s="167">
        <v>0</v>
      </c>
      <c r="L79" s="167">
        <f t="shared" si="25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6"/>
        <v>#REF!</v>
      </c>
      <c r="Q79" s="190"/>
      <c r="R79" s="41"/>
      <c r="S79" s="99"/>
      <c r="T79" s="147">
        <f t="shared" si="27"/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 t="shared" si="23"/>
        <v>2.680000000000291</v>
      </c>
      <c r="H80" s="164">
        <f>F80/E80*100</f>
        <v>100.03209580838323</v>
      </c>
      <c r="I80" s="167">
        <f t="shared" si="24"/>
        <v>2.680000000000291</v>
      </c>
      <c r="J80" s="167">
        <f>F80/D80*100</f>
        <v>100.03209580838323</v>
      </c>
      <c r="K80" s="167">
        <v>0</v>
      </c>
      <c r="L80" s="167">
        <f t="shared" si="25"/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7"/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 t="shared" si="23"/>
        <v>1.48</v>
      </c>
      <c r="H81" s="164"/>
      <c r="I81" s="167">
        <f t="shared" si="24"/>
        <v>1.48</v>
      </c>
      <c r="J81" s="167"/>
      <c r="K81" s="167">
        <v>1.43</v>
      </c>
      <c r="L81" s="167">
        <f t="shared" si="25"/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 t="shared" si="26"/>
        <v>#REF!</v>
      </c>
      <c r="Q81" s="167"/>
      <c r="R81" s="38"/>
      <c r="S81" s="97"/>
      <c r="T81" s="147">
        <f t="shared" si="27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 t="shared" si="24"/>
        <v>24.149999999999636</v>
      </c>
      <c r="J82" s="187">
        <f>F82/D82*100</f>
        <v>100.2875</v>
      </c>
      <c r="K82" s="187">
        <v>2.5</v>
      </c>
      <c r="L82" s="187">
        <f t="shared" si="25"/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7"/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 t="shared" si="23"/>
        <v>8.329999999999998</v>
      </c>
      <c r="H83" s="164">
        <f>F83/E83*100</f>
        <v>130.85185185185185</v>
      </c>
      <c r="I83" s="167">
        <f t="shared" si="24"/>
        <v>8.329999999999998</v>
      </c>
      <c r="J83" s="167">
        <f>F83/D83*100</f>
        <v>130.85185185185185</v>
      </c>
      <c r="K83" s="167">
        <v>38.99</v>
      </c>
      <c r="L83" s="167">
        <f t="shared" si="25"/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 t="shared" si="26"/>
        <v>#REF!</v>
      </c>
      <c r="Q83" s="167" t="e">
        <f>O83/N83</f>
        <v>#REF!</v>
      </c>
      <c r="R83" s="38"/>
      <c r="S83" s="97"/>
      <c r="T83" s="147">
        <f t="shared" si="27"/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6"/>
        <v>#REF!</v>
      </c>
      <c r="Q84" s="167"/>
      <c r="R84" s="38"/>
      <c r="S84" s="97"/>
      <c r="T84" s="147">
        <f t="shared" si="27"/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 t="shared" si="26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7"/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 t="shared" si="26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7"/>
        <v>0</v>
      </c>
    </row>
    <row r="87" spans="2:20" ht="15">
      <c r="B87" s="20" t="s">
        <v>34</v>
      </c>
      <c r="O87" s="25"/>
      <c r="T87" s="147">
        <f t="shared" si="27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7"/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13"/>
      <c r="H89" s="313"/>
      <c r="I89" s="313"/>
      <c r="J89" s="313"/>
      <c r="K89" s="84"/>
      <c r="L89" s="84"/>
      <c r="M89" s="84"/>
      <c r="Q89" s="25"/>
      <c r="R89" s="25"/>
      <c r="T89" s="147" t="e">
        <f t="shared" si="27"/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03"/>
      <c r="P90" s="303"/>
      <c r="T90" s="147">
        <f t="shared" si="27"/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297"/>
      <c r="H91" s="297"/>
      <c r="I91" s="118"/>
      <c r="J91" s="300"/>
      <c r="K91" s="300"/>
      <c r="L91" s="300"/>
      <c r="M91" s="300"/>
      <c r="N91" s="300"/>
      <c r="O91" s="303"/>
      <c r="P91" s="303"/>
    </row>
    <row r="92" spans="3:16" ht="15.75" customHeight="1">
      <c r="C92" s="81">
        <v>42732</v>
      </c>
      <c r="D92" s="29">
        <v>19085.6</v>
      </c>
      <c r="F92" s="68"/>
      <c r="G92" s="297"/>
      <c r="H92" s="297"/>
      <c r="I92" s="118"/>
      <c r="J92" s="304"/>
      <c r="K92" s="304"/>
      <c r="L92" s="304"/>
      <c r="M92" s="304"/>
      <c r="N92" s="304"/>
      <c r="O92" s="303"/>
      <c r="P92" s="303"/>
    </row>
    <row r="93" spans="3:14" ht="15.75" customHeight="1">
      <c r="C93" s="81"/>
      <c r="F93" s="68"/>
      <c r="G93" s="299"/>
      <c r="H93" s="299"/>
      <c r="I93" s="124"/>
      <c r="J93" s="300"/>
      <c r="K93" s="300"/>
      <c r="L93" s="300"/>
      <c r="M93" s="300"/>
      <c r="N93" s="300"/>
    </row>
    <row r="94" spans="2:14" ht="18.75" customHeight="1">
      <c r="B94" s="301" t="s">
        <v>56</v>
      </c>
      <c r="C94" s="302"/>
      <c r="D94" s="133">
        <f>'[1]залишки  (2)'!$G$6/1000</f>
        <v>12794.02423</v>
      </c>
      <c r="E94" s="69"/>
      <c r="F94" s="125" t="s">
        <v>107</v>
      </c>
      <c r="G94" s="297"/>
      <c r="H94" s="297"/>
      <c r="I94" s="126"/>
      <c r="J94" s="300"/>
      <c r="K94" s="300"/>
      <c r="L94" s="300"/>
      <c r="M94" s="300"/>
      <c r="N94" s="300"/>
    </row>
    <row r="95" spans="6:13" ht="9" customHeight="1">
      <c r="F95" s="68"/>
      <c r="G95" s="297"/>
      <c r="H95" s="297"/>
      <c r="I95" s="68"/>
      <c r="J95" s="69"/>
      <c r="K95" s="69"/>
      <c r="L95" s="69"/>
      <c r="M95" s="69"/>
    </row>
    <row r="96" spans="2:13" ht="22.5" customHeight="1" hidden="1">
      <c r="B96" s="295" t="s">
        <v>59</v>
      </c>
      <c r="C96" s="296"/>
      <c r="D96" s="80">
        <v>0</v>
      </c>
      <c r="E96" s="51" t="s">
        <v>24</v>
      </c>
      <c r="F96" s="68"/>
      <c r="G96" s="297"/>
      <c r="H96" s="297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98"/>
      <c r="P98" s="298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 aca="true" t="shared" si="28" ref="K100:P100">K40+K41+K43+K45+K47+K48+K49+K50+K51+K57+K61+K44</f>
        <v>50668.47</v>
      </c>
      <c r="L100" s="29">
        <f t="shared" si="28"/>
        <v>17530.610000000004</v>
      </c>
      <c r="M100" s="29">
        <f t="shared" si="28"/>
        <v>17.329711026889246</v>
      </c>
      <c r="N100" s="29" t="e">
        <f t="shared" si="28"/>
        <v>#REF!</v>
      </c>
      <c r="O100" s="229" t="e">
        <f t="shared" si="28"/>
        <v>#REF!</v>
      </c>
      <c r="P100" s="29" t="e">
        <f t="shared" si="28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 aca="true" t="shared" si="29" ref="E101:P101">SUM(E99:E100)</f>
        <v>1042725.7300000001</v>
      </c>
      <c r="F101" s="229">
        <f t="shared" si="29"/>
        <v>1053569.51</v>
      </c>
      <c r="G101" s="29">
        <f t="shared" si="29"/>
        <v>10843.779999999912</v>
      </c>
      <c r="H101" s="230">
        <f>F101/E101</f>
        <v>1.0103994556651057</v>
      </c>
      <c r="I101" s="29">
        <f t="shared" si="29"/>
        <v>10843.779999999912</v>
      </c>
      <c r="J101" s="230">
        <f>F101/D101</f>
        <v>1.0103994556651057</v>
      </c>
      <c r="K101" s="29">
        <f t="shared" si="29"/>
        <v>50668.47</v>
      </c>
      <c r="L101" s="29">
        <f t="shared" si="29"/>
        <v>17530.610000000004</v>
      </c>
      <c r="M101" s="29">
        <f t="shared" si="29"/>
        <v>17.329711026889246</v>
      </c>
      <c r="N101" s="29" t="e">
        <f t="shared" si="29"/>
        <v>#REF!</v>
      </c>
      <c r="O101" s="229" t="e">
        <f t="shared" si="29"/>
        <v>#REF!</v>
      </c>
      <c r="P101" s="29" t="e">
        <f t="shared" si="29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30" ref="E102:U102">E64-E101</f>
        <v>0</v>
      </c>
      <c r="F102" s="29">
        <f t="shared" si="30"/>
        <v>0</v>
      </c>
      <c r="G102" s="29">
        <f t="shared" si="30"/>
        <v>2.3283064365386963E-10</v>
      </c>
      <c r="H102" s="230"/>
      <c r="I102" s="29">
        <f t="shared" si="30"/>
        <v>2.3283064365386963E-10</v>
      </c>
      <c r="J102" s="230"/>
      <c r="K102" s="29">
        <f t="shared" si="30"/>
        <v>672732.15</v>
      </c>
      <c r="L102" s="29">
        <f t="shared" si="30"/>
        <v>312638.28000000026</v>
      </c>
      <c r="M102" s="29">
        <f t="shared" si="30"/>
        <v>-15.873298797107081</v>
      </c>
      <c r="N102" s="29" t="e">
        <f t="shared" si="30"/>
        <v>#REF!</v>
      </c>
      <c r="O102" s="29" t="e">
        <f t="shared" si="30"/>
        <v>#REF!</v>
      </c>
      <c r="P102" s="29" t="e">
        <f t="shared" si="30"/>
        <v>#REF!</v>
      </c>
      <c r="Q102" s="29"/>
      <c r="R102" s="29" t="e">
        <f t="shared" si="30"/>
        <v>#REF!</v>
      </c>
      <c r="S102" s="29" t="e">
        <f t="shared" si="30"/>
        <v>#REF!</v>
      </c>
      <c r="T102" s="29">
        <f t="shared" si="30"/>
        <v>0</v>
      </c>
      <c r="U102" s="29">
        <f t="shared" si="30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2017-08-01T08:28:08Z</cp:lastPrinted>
  <dcterms:created xsi:type="dcterms:W3CDTF">2003-07-28T11:27:56Z</dcterms:created>
  <dcterms:modified xsi:type="dcterms:W3CDTF">2017-08-01T08:28:55Z</dcterms:modified>
  <cp:category/>
  <cp:version/>
  <cp:contentType/>
  <cp:contentStatus/>
</cp:coreProperties>
</file>